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DieseArbeitsmappe"/>
  <mc:AlternateContent xmlns:mc="http://schemas.openxmlformats.org/markup-compatibility/2006">
    <mc:Choice Requires="x15">
      <x15ac:absPath xmlns:x15ac="http://schemas.microsoft.com/office/spreadsheetml/2010/11/ac" url="I:\Allgemeine Verwaltung\Medien\Neue Homepage\"/>
    </mc:Choice>
  </mc:AlternateContent>
  <xr:revisionPtr revIDLastSave="0" documentId="8_{C87461FB-7F7A-4D56-BAA2-4A849E76CCC0}" xr6:coauthVersionLast="36" xr6:coauthVersionMax="36" xr10:uidLastSave="{00000000-0000-0000-0000-000000000000}"/>
  <bookViews>
    <workbookView xWindow="0" yWindow="0" windowWidth="21576" windowHeight="9360" xr2:uid="{00000000-000D-0000-FFFF-FFFF00000000}"/>
  </bookViews>
  <sheets>
    <sheet name="Steuer- und SV Grenze" sheetId="3" r:id="rId1"/>
    <sheet name="bAV und AG-Förderbeitrag" sheetId="4" r:id="rId2"/>
    <sheet name="Sozialversicherungbeitrag 2023" sheetId="7" r:id="rId3"/>
    <sheet name="40b-Alt- oder Neuzusage" sheetId="5" r:id="rId4"/>
    <sheet name="Abfindung-Nachzahlung" sheetId="6" r:id="rId5"/>
    <sheet name="Riesterzulage" sheetId="8" r:id="rId6"/>
    <sheet name="Fälle-Kommentare" sheetId="2" r:id="rId7"/>
    <sheet name="Berechnung" sheetId="1" state="hidden" r:id="rId8"/>
  </sheets>
  <definedNames>
    <definedName name="AG">"J;N"</definedName>
    <definedName name="_xlnm.Print_Area" localSheetId="0">'Steuer- und SV Grenze'!$A$1:$I$35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5" i="1"/>
  <c r="B2" i="1"/>
  <c r="B15" i="4" l="1"/>
  <c r="C36" i="4"/>
  <c r="F15" i="4"/>
  <c r="U4" i="1" l="1"/>
  <c r="V4" i="1"/>
  <c r="F21" i="1"/>
  <c r="B2" i="6" l="1"/>
  <c r="F24" i="1"/>
  <c r="B1" i="3" l="1"/>
  <c r="B1" i="4"/>
  <c r="B1" i="5"/>
  <c r="B1" i="7"/>
  <c r="B1" i="6"/>
  <c r="B2" i="3"/>
  <c r="B2" i="7" l="1"/>
  <c r="B2" i="5"/>
  <c r="C110" i="2"/>
  <c r="F35" i="8" l="1"/>
  <c r="B34" i="8"/>
  <c r="H34" i="8" s="1"/>
  <c r="J34" i="8" s="1"/>
  <c r="L34" i="8" s="1"/>
  <c r="A34" i="8"/>
  <c r="B33" i="8"/>
  <c r="I29" i="8"/>
  <c r="B29" i="8"/>
  <c r="A29" i="8"/>
  <c r="B28" i="8"/>
  <c r="I24" i="8"/>
  <c r="H24" i="8"/>
  <c r="F24" i="8"/>
  <c r="B22" i="8"/>
  <c r="A22" i="8"/>
  <c r="F21" i="8"/>
  <c r="F18" i="8"/>
  <c r="F15" i="8"/>
  <c r="V14" i="8"/>
  <c r="V13" i="8" s="1"/>
  <c r="U14" i="8"/>
  <c r="U13" i="8" s="1"/>
  <c r="Q14" i="8"/>
  <c r="P14" i="8"/>
  <c r="O14" i="8"/>
  <c r="N14" i="8"/>
  <c r="S13" i="8"/>
  <c r="B14" i="8" s="1"/>
  <c r="I11" i="8"/>
  <c r="I17" i="8" s="1"/>
  <c r="H10" i="8"/>
  <c r="H21" i="8" s="1"/>
  <c r="H9" i="8"/>
  <c r="H17" i="8" s="1"/>
  <c r="E7" i="8"/>
  <c r="E8" i="8" s="1"/>
  <c r="D5" i="8"/>
  <c r="D6" i="8" s="1"/>
  <c r="V4" i="8"/>
  <c r="U4" i="8"/>
  <c r="B3" i="8"/>
  <c r="D17" i="8" l="1"/>
  <c r="E17" i="8"/>
  <c r="R14" i="8"/>
  <c r="E14" i="8"/>
  <c r="U16" i="8"/>
  <c r="U15" i="8" s="1"/>
  <c r="D14" i="8"/>
  <c r="V16" i="8"/>
  <c r="V15" i="8" s="1"/>
  <c r="S14" i="8"/>
  <c r="B15" i="8" s="1"/>
  <c r="D15" i="8" s="1"/>
  <c r="J18" i="8"/>
  <c r="J24" i="8"/>
  <c r="L24" i="8" s="1"/>
  <c r="D18" i="8"/>
  <c r="J21" i="8"/>
  <c r="K18" i="8"/>
  <c r="K24" i="8"/>
  <c r="M24" i="8" s="1"/>
  <c r="K15" i="8"/>
  <c r="K21" i="8"/>
  <c r="E18" i="8"/>
  <c r="I12" i="8"/>
  <c r="H18" i="8"/>
  <c r="V17" i="7"/>
  <c r="D13" i="7"/>
  <c r="B15" i="7"/>
  <c r="A4" i="7"/>
  <c r="U14" i="7" s="1"/>
  <c r="B34" i="7"/>
  <c r="A34" i="7"/>
  <c r="B33" i="7"/>
  <c r="I29" i="7"/>
  <c r="B29" i="7"/>
  <c r="A29" i="7"/>
  <c r="B28" i="7"/>
  <c r="I24" i="7"/>
  <c r="H24" i="7"/>
  <c r="F24" i="7"/>
  <c r="B22" i="7"/>
  <c r="A22" i="7"/>
  <c r="F21" i="7"/>
  <c r="F18" i="7"/>
  <c r="F15" i="7"/>
  <c r="Q14" i="7"/>
  <c r="P14" i="7"/>
  <c r="O14" i="7"/>
  <c r="N14" i="7"/>
  <c r="S13" i="7"/>
  <c r="A29" i="6"/>
  <c r="B29" i="6"/>
  <c r="A34" i="6"/>
  <c r="B34" i="6"/>
  <c r="B33" i="6"/>
  <c r="A4" i="6"/>
  <c r="H2" i="6" s="1"/>
  <c r="B28" i="6"/>
  <c r="I24" i="6"/>
  <c r="H24" i="6"/>
  <c r="F24" i="6"/>
  <c r="B22" i="6"/>
  <c r="A22" i="6"/>
  <c r="F21" i="6"/>
  <c r="F18" i="6"/>
  <c r="F15" i="6"/>
  <c r="Q14" i="6"/>
  <c r="P14" i="6"/>
  <c r="O14" i="6"/>
  <c r="N14" i="6"/>
  <c r="S13" i="6"/>
  <c r="V4" i="6"/>
  <c r="U4" i="6"/>
  <c r="A4" i="5"/>
  <c r="B34" i="5"/>
  <c r="A34" i="5"/>
  <c r="B33" i="5"/>
  <c r="I29" i="5"/>
  <c r="B29" i="5"/>
  <c r="A29" i="5"/>
  <c r="B28" i="5"/>
  <c r="I24" i="5"/>
  <c r="H24" i="5"/>
  <c r="F24" i="5"/>
  <c r="B22" i="5"/>
  <c r="A22" i="5"/>
  <c r="F21" i="5"/>
  <c r="F18" i="5"/>
  <c r="F15" i="5"/>
  <c r="Q14" i="5"/>
  <c r="P14" i="5"/>
  <c r="O14" i="5"/>
  <c r="N14" i="5"/>
  <c r="S13" i="5"/>
  <c r="V4" i="5"/>
  <c r="U4" i="5"/>
  <c r="G17" i="4"/>
  <c r="B18" i="4"/>
  <c r="B3" i="1"/>
  <c r="B3" i="4" s="1"/>
  <c r="A4" i="4"/>
  <c r="U14" i="4" s="1"/>
  <c r="B34" i="4"/>
  <c r="A34" i="4"/>
  <c r="B33" i="4"/>
  <c r="I29" i="4"/>
  <c r="B29" i="4"/>
  <c r="A29" i="4"/>
  <c r="B28" i="4"/>
  <c r="I24" i="4"/>
  <c r="H24" i="4"/>
  <c r="F24" i="4"/>
  <c r="B22" i="4"/>
  <c r="A22" i="4"/>
  <c r="F21" i="4"/>
  <c r="Q14" i="4"/>
  <c r="P14" i="4"/>
  <c r="O14" i="4"/>
  <c r="N14" i="4"/>
  <c r="S13" i="4"/>
  <c r="V4" i="4"/>
  <c r="U4" i="4"/>
  <c r="A4" i="3"/>
  <c r="B34" i="3"/>
  <c r="A34" i="3"/>
  <c r="B33" i="3"/>
  <c r="I29" i="3"/>
  <c r="B29" i="3"/>
  <c r="A29" i="3"/>
  <c r="B28" i="3"/>
  <c r="I24" i="3"/>
  <c r="H24" i="3"/>
  <c r="F24" i="3"/>
  <c r="B22" i="3"/>
  <c r="A22" i="3"/>
  <c r="F21" i="3"/>
  <c r="F18" i="3"/>
  <c r="F15" i="3"/>
  <c r="Q14" i="3"/>
  <c r="P14" i="3"/>
  <c r="O14" i="3"/>
  <c r="N14" i="3"/>
  <c r="S13" i="3"/>
  <c r="V4" i="3"/>
  <c r="U4" i="3"/>
  <c r="F18" i="4" l="1"/>
  <c r="F36" i="4"/>
  <c r="E2" i="7"/>
  <c r="E3" i="7" s="1"/>
  <c r="U14" i="5"/>
  <c r="U13" i="5" s="1"/>
  <c r="S14" i="7"/>
  <c r="T14" i="7" s="1"/>
  <c r="T13" i="7" s="1"/>
  <c r="B3" i="3"/>
  <c r="U13" i="7"/>
  <c r="S14" i="5"/>
  <c r="T14" i="5" s="1"/>
  <c r="T13" i="5" s="1"/>
  <c r="V14" i="7"/>
  <c r="V13" i="7" s="1"/>
  <c r="U14" i="6"/>
  <c r="U16" i="6" s="1"/>
  <c r="U15" i="6" s="1"/>
  <c r="B3" i="6"/>
  <c r="D5" i="7"/>
  <c r="D14" i="7" s="1"/>
  <c r="E7" i="7"/>
  <c r="E14" i="7" s="1"/>
  <c r="H9" i="7"/>
  <c r="H17" i="7" s="1"/>
  <c r="E7" i="5"/>
  <c r="E17" i="5" s="1"/>
  <c r="B3" i="7"/>
  <c r="B3" i="5"/>
  <c r="H10" i="7"/>
  <c r="H21" i="7" s="1"/>
  <c r="I11" i="7"/>
  <c r="I17" i="7" s="1"/>
  <c r="V18" i="8"/>
  <c r="J15" i="8"/>
  <c r="E15" i="8"/>
  <c r="T14" i="8"/>
  <c r="B35" i="8" s="1"/>
  <c r="I21" i="8"/>
  <c r="I18" i="8"/>
  <c r="H29" i="8"/>
  <c r="J29" i="8" s="1"/>
  <c r="L29" i="8" s="1"/>
  <c r="D2" i="7"/>
  <c r="D3" i="7" s="1"/>
  <c r="H10" i="5"/>
  <c r="H21" i="5" s="1"/>
  <c r="H10" i="6"/>
  <c r="H21" i="6" s="1"/>
  <c r="V14" i="5"/>
  <c r="V14" i="6"/>
  <c r="V16" i="6" s="1"/>
  <c r="V15" i="6" s="1"/>
  <c r="S14" i="4"/>
  <c r="T14" i="4" s="1"/>
  <c r="T13" i="4" s="1"/>
  <c r="H9" i="3"/>
  <c r="H17" i="3" s="1"/>
  <c r="E2" i="4"/>
  <c r="E3" i="4" s="1"/>
  <c r="I3" i="5" s="1"/>
  <c r="E7" i="6"/>
  <c r="E17" i="6" s="1"/>
  <c r="H3" i="6"/>
  <c r="D2" i="4"/>
  <c r="D3" i="4" s="1"/>
  <c r="H3" i="5" s="1"/>
  <c r="I2" i="6"/>
  <c r="I3" i="6" s="1"/>
  <c r="D5" i="6"/>
  <c r="D14" i="6" s="1"/>
  <c r="H9" i="6"/>
  <c r="H17" i="6" s="1"/>
  <c r="I11" i="6"/>
  <c r="I17" i="6" s="1"/>
  <c r="S14" i="6"/>
  <c r="T14" i="6" s="1"/>
  <c r="T13" i="6" s="1"/>
  <c r="U16" i="5"/>
  <c r="D5" i="5"/>
  <c r="D14" i="5" s="1"/>
  <c r="H9" i="5"/>
  <c r="H17" i="5" s="1"/>
  <c r="I11" i="5"/>
  <c r="I17" i="5" s="1"/>
  <c r="B36" i="4"/>
  <c r="D5" i="3"/>
  <c r="D14" i="3" s="1"/>
  <c r="I11" i="3"/>
  <c r="I17" i="3" s="1"/>
  <c r="U16" i="4"/>
  <c r="U15" i="4" s="1"/>
  <c r="U13" i="4"/>
  <c r="E7" i="4"/>
  <c r="E17" i="4" s="1"/>
  <c r="H10" i="4"/>
  <c r="H21" i="4" s="1"/>
  <c r="V14" i="4"/>
  <c r="D5" i="4"/>
  <c r="D6" i="4" s="1"/>
  <c r="H9" i="4"/>
  <c r="H17" i="4" s="1"/>
  <c r="I11" i="4"/>
  <c r="I17" i="4" s="1"/>
  <c r="U14" i="3"/>
  <c r="E7" i="3"/>
  <c r="E17" i="3" s="1"/>
  <c r="H10" i="3"/>
  <c r="H21" i="3" s="1"/>
  <c r="V14" i="3"/>
  <c r="S14" i="3"/>
  <c r="T14" i="3"/>
  <c r="T13" i="3" s="1"/>
  <c r="B29" i="1"/>
  <c r="A34" i="1"/>
  <c r="B34" i="1"/>
  <c r="H34" i="3" l="1"/>
  <c r="J34" i="3" s="1"/>
  <c r="L34" i="3" s="1"/>
  <c r="D6" i="7"/>
  <c r="H18" i="5"/>
  <c r="H18" i="3"/>
  <c r="H34" i="5"/>
  <c r="J34" i="5" s="1"/>
  <c r="L34" i="5" s="1"/>
  <c r="E14" i="5"/>
  <c r="E8" i="7"/>
  <c r="E15" i="7" s="1"/>
  <c r="H34" i="7"/>
  <c r="J34" i="7" s="1"/>
  <c r="L34" i="7" s="1"/>
  <c r="E8" i="5"/>
  <c r="K24" i="5" s="1"/>
  <c r="M24" i="5" s="1"/>
  <c r="U13" i="6"/>
  <c r="G36" i="4"/>
  <c r="J36" i="4"/>
  <c r="J34" i="6"/>
  <c r="L34" i="6" s="1"/>
  <c r="H34" i="6"/>
  <c r="H18" i="6"/>
  <c r="E14" i="6"/>
  <c r="I12" i="6"/>
  <c r="I18" i="6" s="1"/>
  <c r="D6" i="6"/>
  <c r="J21" i="6" s="1"/>
  <c r="I12" i="7"/>
  <c r="H29" i="7" s="1"/>
  <c r="J29" i="7" s="1"/>
  <c r="L29" i="7" s="1"/>
  <c r="E8" i="6"/>
  <c r="E18" i="6" s="1"/>
  <c r="H18" i="7"/>
  <c r="T13" i="8"/>
  <c r="N15" i="8" s="1"/>
  <c r="J35" i="8"/>
  <c r="E35" i="8"/>
  <c r="K35" i="8"/>
  <c r="D35" i="8"/>
  <c r="V13" i="6"/>
  <c r="J18" i="7"/>
  <c r="D15" i="7"/>
  <c r="J15" i="7"/>
  <c r="J24" i="7"/>
  <c r="L24" i="7" s="1"/>
  <c r="J21" i="7"/>
  <c r="I12" i="3"/>
  <c r="I21" i="3" s="1"/>
  <c r="H18" i="4"/>
  <c r="D17" i="3"/>
  <c r="V16" i="5"/>
  <c r="V15" i="5" s="1"/>
  <c r="V13" i="5"/>
  <c r="D6" i="3"/>
  <c r="J18" i="3" s="1"/>
  <c r="I12" i="4"/>
  <c r="H29" i="4" s="1"/>
  <c r="J29" i="4" s="1"/>
  <c r="L29" i="4" s="1"/>
  <c r="H34" i="4"/>
  <c r="J34" i="4" s="1"/>
  <c r="L34" i="4" s="1"/>
  <c r="D17" i="6"/>
  <c r="D14" i="4"/>
  <c r="D17" i="4"/>
  <c r="U15" i="5"/>
  <c r="I29" i="6"/>
  <c r="K29" i="6"/>
  <c r="V18" i="6"/>
  <c r="D17" i="5"/>
  <c r="I12" i="5"/>
  <c r="I18" i="5" s="1"/>
  <c r="D6" i="5"/>
  <c r="J18" i="5" s="1"/>
  <c r="I21" i="5"/>
  <c r="H29" i="5"/>
  <c r="J29" i="5" s="1"/>
  <c r="L29" i="5" s="1"/>
  <c r="K15" i="5"/>
  <c r="K18" i="5"/>
  <c r="E15" i="5"/>
  <c r="K21" i="5"/>
  <c r="E14" i="3"/>
  <c r="E8" i="3"/>
  <c r="K21" i="3" s="1"/>
  <c r="V16" i="4"/>
  <c r="V13" i="4"/>
  <c r="E14" i="4"/>
  <c r="E8" i="4"/>
  <c r="K36" i="4" s="1"/>
  <c r="J21" i="4"/>
  <c r="J18" i="4"/>
  <c r="D15" i="4"/>
  <c r="J24" i="4"/>
  <c r="L24" i="4" s="1"/>
  <c r="D18" i="4"/>
  <c r="J15" i="4"/>
  <c r="U16" i="3"/>
  <c r="U13" i="3"/>
  <c r="V16" i="3"/>
  <c r="V15" i="3" s="1"/>
  <c r="V13" i="3"/>
  <c r="V14" i="1"/>
  <c r="U14" i="1"/>
  <c r="V4" i="7"/>
  <c r="V16" i="7" s="1"/>
  <c r="U4" i="7"/>
  <c r="K21" i="7" l="1"/>
  <c r="K24" i="7"/>
  <c r="M24" i="7" s="1"/>
  <c r="K18" i="7"/>
  <c r="E18" i="5"/>
  <c r="K15" i="7"/>
  <c r="U16" i="7"/>
  <c r="U15" i="7" s="1"/>
  <c r="E16" i="7"/>
  <c r="V15" i="7"/>
  <c r="E18" i="4"/>
  <c r="K21" i="4"/>
  <c r="K18" i="4"/>
  <c r="D18" i="6"/>
  <c r="D15" i="6"/>
  <c r="J24" i="6"/>
  <c r="L24" i="6" s="1"/>
  <c r="J15" i="6"/>
  <c r="J18" i="6"/>
  <c r="I21" i="6"/>
  <c r="K15" i="6"/>
  <c r="I18" i="7"/>
  <c r="K24" i="6"/>
  <c r="M24" i="6" s="1"/>
  <c r="I21" i="7"/>
  <c r="K18" i="6"/>
  <c r="E15" i="3"/>
  <c r="E15" i="6"/>
  <c r="J15" i="3"/>
  <c r="D18" i="5"/>
  <c r="H29" i="3"/>
  <c r="J29" i="3" s="1"/>
  <c r="L29" i="3" s="1"/>
  <c r="I18" i="3"/>
  <c r="D15" i="5"/>
  <c r="K21" i="6"/>
  <c r="J21" i="5"/>
  <c r="D18" i="3"/>
  <c r="D15" i="3"/>
  <c r="I18" i="4"/>
  <c r="I21" i="4"/>
  <c r="J24" i="3"/>
  <c r="L24" i="3" s="1"/>
  <c r="J21" i="3"/>
  <c r="K15" i="3"/>
  <c r="K24" i="3"/>
  <c r="M24" i="3" s="1"/>
  <c r="K18" i="3"/>
  <c r="E18" i="3"/>
  <c r="V18" i="5"/>
  <c r="K24" i="4"/>
  <c r="M24" i="4" s="1"/>
  <c r="J15" i="5"/>
  <c r="J24" i="5"/>
  <c r="L24" i="5" s="1"/>
  <c r="V15" i="4"/>
  <c r="V18" i="4"/>
  <c r="E15" i="4"/>
  <c r="K15" i="4"/>
  <c r="V18" i="3"/>
  <c r="U15" i="3"/>
  <c r="V16" i="1"/>
  <c r="V15" i="1" s="1"/>
  <c r="V13" i="1"/>
  <c r="U13" i="1"/>
  <c r="S13" i="1"/>
  <c r="P14" i="1"/>
  <c r="Q14" i="1"/>
  <c r="O14" i="1"/>
  <c r="N14" i="1"/>
  <c r="V18" i="7" l="1"/>
  <c r="V36" i="7" s="1"/>
  <c r="U16" i="1"/>
  <c r="S14" i="1"/>
  <c r="A22" i="1"/>
  <c r="A29" i="1"/>
  <c r="B33" i="1"/>
  <c r="B28" i="1"/>
  <c r="I29" i="1"/>
  <c r="V37" i="7" l="1"/>
  <c r="V38" i="7" s="1"/>
  <c r="U15" i="1"/>
  <c r="V18" i="1"/>
  <c r="T14" i="1"/>
  <c r="T13" i="1" s="1"/>
  <c r="B22" i="1"/>
  <c r="I24" i="1" l="1"/>
  <c r="H24" i="1"/>
  <c r="I11" i="1" l="1"/>
  <c r="I12" i="1" s="1"/>
  <c r="I21" i="1" s="1"/>
  <c r="I18" i="1" l="1"/>
  <c r="I17" i="1"/>
  <c r="H10" i="1"/>
  <c r="E7" i="1"/>
  <c r="H9" i="1"/>
  <c r="H17" i="1" s="1"/>
  <c r="D5" i="1"/>
  <c r="D17" i="1" l="1"/>
  <c r="D14" i="1"/>
  <c r="E14" i="1"/>
  <c r="E17" i="1"/>
  <c r="H21" i="1"/>
  <c r="H18" i="1"/>
  <c r="E8" i="1"/>
  <c r="D6" i="1"/>
  <c r="J15" i="1" l="1"/>
  <c r="J18" i="1"/>
  <c r="J21" i="1"/>
  <c r="K18" i="1"/>
  <c r="K15" i="1"/>
  <c r="K21" i="1"/>
  <c r="J24" i="1"/>
  <c r="L24" i="1" s="1"/>
  <c r="K24" i="1"/>
  <c r="M24" i="1" s="1"/>
  <c r="E18" i="1"/>
  <c r="E15" i="1"/>
  <c r="D18" i="1"/>
  <c r="D15" i="1"/>
  <c r="H29" i="1"/>
  <c r="H34" i="1"/>
  <c r="J34" i="1" s="1"/>
  <c r="J29" i="1" l="1"/>
  <c r="L29" i="1" s="1"/>
  <c r="L34" i="1"/>
  <c r="L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0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000-000002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000-000003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
</t>
        </r>
        <r>
          <rPr>
            <b/>
            <sz val="8"/>
            <color indexed="81"/>
            <rFont val="Arial"/>
            <family val="2"/>
          </rPr>
          <t>Lösung:</t>
        </r>
        <r>
          <rPr>
            <sz val="8"/>
            <color indexed="81"/>
            <rFont val="Arial"/>
            <family val="2"/>
          </rPr>
          <t xml:space="preserve"> Ab Mai 2018 kann der BAV-Förderbetrag nicht mehr in An¬spruch genommen werden. Dass ab Mai 2018 die Geringverdiener¬grenze von 2.200 € monatlich überschritten wird, hat aber keinen Ein¬fluss auf den bereits in den Monaten Januar-April 2018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000-000004000000}">
      <text>
        <r>
          <rPr>
            <b/>
            <sz val="9"/>
            <color indexed="81"/>
            <rFont val="Segoe UI"/>
            <family val="2"/>
          </rPr>
          <t>2.148 max</t>
        </r>
        <r>
          <rPr>
            <sz val="9"/>
            <color indexed="81"/>
            <rFont val="Segoe UI"/>
            <family val="2"/>
          </rPr>
          <t xml:space="preserve">
</t>
        </r>
      </text>
    </comment>
    <comment ref="K21" authorId="0" shapeId="0" xr:uid="{00000000-0006-0000-0000-000005000000}">
      <text>
        <r>
          <rPr>
            <b/>
            <sz val="9"/>
            <color indexed="81"/>
            <rFont val="Segoe UI"/>
            <family val="2"/>
          </rPr>
          <t>2.148 max</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1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F4" authorId="0" shapeId="0" xr:uid="{00000000-0006-0000-0100-000002000000}">
      <text>
        <r>
          <rPr>
            <b/>
            <sz val="9"/>
            <color indexed="81"/>
            <rFont val="Segoe UI"/>
            <family val="2"/>
          </rPr>
          <t>Betrag wird evtl. verdoppelt 
Koalitionsbeschluss v. 11.11.19</t>
        </r>
        <r>
          <rPr>
            <sz val="9"/>
            <color indexed="81"/>
            <rFont val="Segoe UI"/>
            <family val="2"/>
          </rPr>
          <t xml:space="preserve">
</t>
        </r>
      </text>
    </comment>
    <comment ref="A5" authorId="0" shapeId="0" xr:uid="{00000000-0006-0000-0100-000003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100-000004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
</t>
        </r>
        <r>
          <rPr>
            <b/>
            <sz val="8"/>
            <color indexed="81"/>
            <rFont val="Arial"/>
            <family val="2"/>
          </rPr>
          <t>Lösung:</t>
        </r>
        <r>
          <rPr>
            <sz val="8"/>
            <color indexed="81"/>
            <rFont val="Arial"/>
            <family val="2"/>
          </rPr>
          <t xml:space="preserve"> Ab Mai 2018 kann der BAV-Förderbetrag nicht mehr in An¬spruch genommen werden. Dass ab Mai 2018 die Geringverdiener¬grenze von 2.200 € monatlich überschritten wird, hat aber keinen Ein¬fluss auf den bereits in den Monaten Januar-April 2018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100-000005000000}">
      <text>
        <r>
          <rPr>
            <b/>
            <sz val="9"/>
            <color indexed="81"/>
            <rFont val="Segoe UI"/>
            <family val="2"/>
          </rPr>
          <t>2.148 max</t>
        </r>
        <r>
          <rPr>
            <sz val="9"/>
            <color indexed="81"/>
            <rFont val="Segoe UI"/>
            <family val="2"/>
          </rPr>
          <t xml:space="preserve">
</t>
        </r>
      </text>
    </comment>
    <comment ref="K21" authorId="0" shapeId="0" xr:uid="{00000000-0006-0000-0100-000006000000}">
      <text>
        <r>
          <rPr>
            <b/>
            <sz val="9"/>
            <color indexed="81"/>
            <rFont val="Segoe UI"/>
            <family val="2"/>
          </rPr>
          <t>2.148 max</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2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200-000002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200-000003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
</t>
        </r>
        <r>
          <rPr>
            <b/>
            <sz val="8"/>
            <color indexed="81"/>
            <rFont val="Arial"/>
            <family val="2"/>
          </rPr>
          <t>Lösung:</t>
        </r>
        <r>
          <rPr>
            <sz val="8"/>
            <color indexed="81"/>
            <rFont val="Arial"/>
            <family val="2"/>
          </rPr>
          <t xml:space="preserve"> Ab Mai 2018 kann der BAV-Förderbetrag nicht mehr in An¬spruch genommen werden. Dass ab Mai 2018 die Geringverdiener¬grenze von 2.200 € monatlich überschritten wird, hat aber keinen Ein¬fluss auf den bereits in den Monaten Januar-April 2018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200-000004000000}">
      <text>
        <r>
          <rPr>
            <b/>
            <sz val="9"/>
            <color indexed="81"/>
            <rFont val="Segoe UI"/>
            <family val="2"/>
          </rPr>
          <t>2.148 max</t>
        </r>
        <r>
          <rPr>
            <sz val="9"/>
            <color indexed="81"/>
            <rFont val="Segoe UI"/>
            <family val="2"/>
          </rPr>
          <t xml:space="preserve">
</t>
        </r>
      </text>
    </comment>
    <comment ref="K21" authorId="0" shapeId="0" xr:uid="{00000000-0006-0000-0200-000005000000}">
      <text>
        <r>
          <rPr>
            <b/>
            <sz val="9"/>
            <color indexed="81"/>
            <rFont val="Segoe UI"/>
            <family val="2"/>
          </rPr>
          <t>2.148 max</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3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300-000002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300-000003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
</t>
        </r>
        <r>
          <rPr>
            <b/>
            <sz val="8"/>
            <color indexed="81"/>
            <rFont val="Arial"/>
            <family val="2"/>
          </rPr>
          <t>Lösung:</t>
        </r>
        <r>
          <rPr>
            <sz val="8"/>
            <color indexed="81"/>
            <rFont val="Arial"/>
            <family val="2"/>
          </rPr>
          <t xml:space="preserve"> Ab Mai 2018 kann der BAV-Förderbetrag nicht mehr in An¬spruch genommen werden. Dass ab Mai 2018 die Geringverdiener¬grenze von 2.200 € monatlich überschritten wird, hat aber keinen Ein¬fluss auf den bereits in den Monaten Januar-April 2018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300-000004000000}">
      <text>
        <r>
          <rPr>
            <b/>
            <sz val="9"/>
            <color indexed="81"/>
            <rFont val="Segoe UI"/>
            <family val="2"/>
          </rPr>
          <t>2.148 max</t>
        </r>
        <r>
          <rPr>
            <sz val="9"/>
            <color indexed="81"/>
            <rFont val="Segoe UI"/>
            <family val="2"/>
          </rPr>
          <t xml:space="preserve">
</t>
        </r>
      </text>
    </comment>
    <comment ref="K21" authorId="0" shapeId="0" xr:uid="{00000000-0006-0000-0300-000005000000}">
      <text>
        <r>
          <rPr>
            <b/>
            <sz val="9"/>
            <color indexed="81"/>
            <rFont val="Segoe UI"/>
            <family val="2"/>
          </rPr>
          <t>2.148 max</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4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400-000002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400-000003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
</t>
        </r>
        <r>
          <rPr>
            <b/>
            <sz val="8"/>
            <color indexed="81"/>
            <rFont val="Arial"/>
            <family val="2"/>
          </rPr>
          <t>Lösung:</t>
        </r>
        <r>
          <rPr>
            <sz val="8"/>
            <color indexed="81"/>
            <rFont val="Arial"/>
            <family val="2"/>
          </rPr>
          <t xml:space="preserve"> Ab Mai 2018 kann der BAV-Förderbetrag nicht mehr in An¬spruch genommen werden. Dass ab Mai 2018 die Geringverdiener¬grenze von 2.200 € monatlich überschritten wird, hat aber keinen Ein¬fluss auf den bereits in den Monaten Januar-April 2018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400-000004000000}">
      <text>
        <r>
          <rPr>
            <b/>
            <sz val="9"/>
            <color indexed="81"/>
            <rFont val="Segoe UI"/>
            <family val="2"/>
          </rPr>
          <t>2.148 max</t>
        </r>
        <r>
          <rPr>
            <sz val="9"/>
            <color indexed="81"/>
            <rFont val="Segoe UI"/>
            <family val="2"/>
          </rPr>
          <t xml:space="preserve">
</t>
        </r>
      </text>
    </comment>
    <comment ref="K21" authorId="0" shapeId="0" xr:uid="{00000000-0006-0000-0400-000005000000}">
      <text>
        <r>
          <rPr>
            <b/>
            <sz val="9"/>
            <color indexed="81"/>
            <rFont val="Segoe UI"/>
            <family val="2"/>
          </rPr>
          <t>2.148 max</t>
        </r>
        <r>
          <rPr>
            <sz val="9"/>
            <color indexed="81"/>
            <rFont val="Segoe U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5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500-000002000000}">
      <text>
        <r>
          <rPr>
            <b/>
            <sz val="9"/>
            <color indexed="81"/>
            <rFont val="Segoe UI"/>
            <family val="2"/>
          </rPr>
          <t>1.800 Zusatzbetrag für § 40b alt entfällt nach
§ 52 Abs. 4 S.13 ESTG</t>
        </r>
        <r>
          <rPr>
            <sz val="9"/>
            <color indexed="81"/>
            <rFont val="Segoe UI"/>
            <family val="2"/>
          </rPr>
          <t xml:space="preserve">
</t>
        </r>
      </text>
    </comment>
    <comment ref="J21" authorId="0" shapeId="0" xr:uid="{00000000-0006-0000-0500-000003000000}">
      <text>
        <r>
          <rPr>
            <b/>
            <sz val="9"/>
            <color indexed="81"/>
            <rFont val="Segoe UI"/>
            <family val="2"/>
          </rPr>
          <t>2.148 max</t>
        </r>
        <r>
          <rPr>
            <sz val="9"/>
            <color indexed="81"/>
            <rFont val="Segoe UI"/>
            <family val="2"/>
          </rPr>
          <t xml:space="preserve">
</t>
        </r>
      </text>
    </comment>
    <comment ref="K21" authorId="0" shapeId="0" xr:uid="{00000000-0006-0000-0500-000004000000}">
      <text>
        <r>
          <rPr>
            <b/>
            <sz val="9"/>
            <color indexed="81"/>
            <rFont val="Segoe UI"/>
            <family val="2"/>
          </rPr>
          <t>2.148 max</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Paul Wessling</author>
  </authors>
  <commentList>
    <comment ref="G3" authorId="0" shapeId="0" xr:uid="{00000000-0006-0000-0700-000001000000}">
      <text>
        <r>
          <rPr>
            <b/>
            <sz val="8"/>
            <color indexed="81"/>
            <rFont val="Arial"/>
            <family val="2"/>
          </rPr>
          <t>Sonstige Bezüge</t>
        </r>
        <r>
          <rPr>
            <sz val="8"/>
            <color indexed="81"/>
            <rFont val="Arial"/>
            <family val="2"/>
          </rPr>
          <t xml:space="preserve"> (z.B. Weihnachtsgeld), steuerfreie Lohnteile (z.B. steuerfreie Zuschläge für Sonntags-, Feiertags- und Nachtarbeit), unter die 44-€-Freigrenze fallende Sachbezüge (§ 8 Abs. 2 Satz 11 EStG) oder nach §§ 37a, 37b, 40, 40b EStG pauschal besteuerter Arbeitslohn 
</t>
        </r>
        <r>
          <rPr>
            <b/>
            <sz val="8"/>
            <color indexed="81"/>
            <rFont val="Arial"/>
            <family val="2"/>
          </rPr>
          <t>bleiben für die Prüfung der Geringverdienergrenze</t>
        </r>
        <r>
          <rPr>
            <sz val="8"/>
            <color indexed="81"/>
            <rFont val="Arial"/>
            <family val="2"/>
          </rPr>
          <t xml:space="preserve"> </t>
        </r>
        <r>
          <rPr>
            <b/>
            <sz val="8"/>
            <color indexed="81"/>
            <rFont val="Arial"/>
            <family val="2"/>
          </rPr>
          <t>unberücksichtig</t>
        </r>
        <r>
          <rPr>
            <sz val="8"/>
            <color indexed="81"/>
            <rFont val="Arial"/>
            <family val="2"/>
          </rPr>
          <t>t</t>
        </r>
        <r>
          <rPr>
            <b/>
            <sz val="8"/>
            <color indexed="81"/>
            <rFont val="Segoe UI"/>
            <family val="2"/>
          </rPr>
          <t>.</t>
        </r>
        <r>
          <rPr>
            <sz val="9"/>
            <color indexed="81"/>
            <rFont val="Segoe UI"/>
            <family val="2"/>
          </rPr>
          <t xml:space="preserve">
</t>
        </r>
      </text>
    </comment>
    <comment ref="A5" authorId="0" shapeId="0" xr:uid="{00000000-0006-0000-0700-000002000000}">
      <text>
        <r>
          <rPr>
            <b/>
            <sz val="9"/>
            <color indexed="81"/>
            <rFont val="Segoe UI"/>
            <family val="2"/>
          </rPr>
          <t>1.800 Zusatzbetrag für § 40b alt entfällt nach
§ 52 Abs. 4 S.13 ESTG</t>
        </r>
        <r>
          <rPr>
            <sz val="9"/>
            <color indexed="81"/>
            <rFont val="Segoe UI"/>
            <family val="2"/>
          </rPr>
          <t xml:space="preserve">
</t>
        </r>
      </text>
    </comment>
    <comment ref="A15" authorId="0" shapeId="0" xr:uid="{00000000-0006-0000-0700-000003000000}">
      <text>
        <r>
          <rPr>
            <sz val="8"/>
            <color indexed="81"/>
            <rFont val="Arial"/>
            <family val="2"/>
          </rPr>
          <t>Es spielt für den Förderbetrag übrigens keine Rolle, ob der zusätzliche Arbeitgeberbeitrag monatlich, unregelmäßig oder gar nur einmal im Kalenderjahr gezahlt wird.</t>
        </r>
        <r>
          <rPr>
            <b/>
            <sz val="8"/>
            <color indexed="81"/>
            <rFont val="Arial"/>
            <family val="2"/>
          </rPr>
          <t xml:space="preserve"> 
Für die Inan¬spruchnahme des Förderbetrags sind stets die Verhältnisse im Zeitpunkt der Beitragsleistung maßgeblich (§ 100 Abs. 4 Satz 1 EStG – neu).</t>
        </r>
        <r>
          <rPr>
            <sz val="8"/>
            <color indexed="81"/>
            <rFont val="Arial"/>
            <family val="2"/>
          </rPr>
          <t xml:space="preserve"> 
Dies gilt auch bei schwankenden oder steigenden Arbeitslöhnen. Hierdurch kann der Arbeitgeber den Förderbe¬trag betriebliche Altersversorgung in einfacher Weise und vor allen Dingen rechtssicher gegenüber der Finanzverwaltung geltend machen.
</t>
        </r>
        <r>
          <rPr>
            <b/>
            <sz val="8"/>
            <color indexed="81"/>
            <rFont val="Arial"/>
            <family val="2"/>
          </rPr>
          <t>Beispiel:</t>
        </r>
        <r>
          <rPr>
            <sz val="8"/>
            <color indexed="81"/>
            <rFont val="Arial"/>
            <family val="2"/>
          </rPr>
          <t xml:space="preserve">
Bei einem Arbeitnehmer beträgt ider laufende Arbeitslohn 2.575 €. Der Arbeitgeber zahlt einen zusätzlichen, monatlichen Arbeitgeberbeitrag i.H.v. 40 € und nimmt mit der LSt-Anmeldung für Januar 2023 den BAV-Förderbetrag in Anspruch. Ab Mai 2023 steigt der laufende Arbeitslohn um 3% auf 2.652,25 €. Der Arbeitgeber zahlt weiterhin monatlich den zusätzlichen Arbeitgeberbeitrag i.H.v. 40 €.
</t>
        </r>
        <r>
          <rPr>
            <b/>
            <sz val="8"/>
            <color indexed="81"/>
            <rFont val="Arial"/>
            <family val="2"/>
          </rPr>
          <t>Lösung:</t>
        </r>
        <r>
          <rPr>
            <sz val="8"/>
            <color indexed="81"/>
            <rFont val="Arial"/>
            <family val="2"/>
          </rPr>
          <t xml:space="preserve"> Ab Mai 2023 kann der BAV-Förderbetrag nicht mehr in An¬spruch genommen werden. Dass ab Mai 2023 die Geringverdiener¬grenze von 2.575 € monatlich überschritten wird, hat aber keinen Ein¬fluss auf den bereits in den Monaten Januar-April 2023 in Anspruch genommenen BAV-Förderbetrag. </t>
        </r>
        <r>
          <rPr>
            <b/>
            <sz val="8"/>
            <color indexed="81"/>
            <rFont val="Arial"/>
            <family val="2"/>
          </rPr>
          <t>Die Förderung wird also für diese Monate 01-04 nicht zurückgefordert.</t>
        </r>
        <r>
          <rPr>
            <b/>
            <sz val="9"/>
            <color indexed="81"/>
            <rFont val="Segoe UI"/>
            <family val="2"/>
          </rPr>
          <t xml:space="preserve">
</t>
        </r>
      </text>
    </comment>
    <comment ref="J21" authorId="0" shapeId="0" xr:uid="{00000000-0006-0000-0700-000004000000}">
      <text>
        <r>
          <rPr>
            <b/>
            <sz val="9"/>
            <color indexed="81"/>
            <rFont val="Segoe UI"/>
            <family val="2"/>
          </rPr>
          <t>2.148 max</t>
        </r>
        <r>
          <rPr>
            <sz val="9"/>
            <color indexed="81"/>
            <rFont val="Segoe UI"/>
            <family val="2"/>
          </rPr>
          <t xml:space="preserve">
</t>
        </r>
      </text>
    </comment>
    <comment ref="K21" authorId="0" shapeId="0" xr:uid="{00000000-0006-0000-0700-000005000000}">
      <text>
        <r>
          <rPr>
            <b/>
            <sz val="9"/>
            <color indexed="81"/>
            <rFont val="Segoe UI"/>
            <family val="2"/>
          </rPr>
          <t>2.148 max</t>
        </r>
        <r>
          <rPr>
            <sz val="9"/>
            <color indexed="81"/>
            <rFont val="Segoe UI"/>
            <family val="2"/>
          </rPr>
          <t xml:space="preserve">
</t>
        </r>
      </text>
    </comment>
  </commentList>
</comments>
</file>

<file path=xl/sharedStrings.xml><?xml version="1.0" encoding="utf-8"?>
<sst xmlns="http://schemas.openxmlformats.org/spreadsheetml/2006/main" count="591" uniqueCount="242">
  <si>
    <t>Betriebs-Renten-Stärkungs-Gesetz</t>
  </si>
  <si>
    <t>AN Geringverdiener bis 2.200</t>
  </si>
  <si>
    <t>Steuerfreie Entgeltumwandlung mtl. (incl. §40b-alt)</t>
  </si>
  <si>
    <t>Steuerfreie Beträge mtl.  (incl. §40b-alt)</t>
  </si>
  <si>
    <t>Steuerfreier Betrag p.a.  (incl. §40b-alt)</t>
  </si>
  <si>
    <t>Sozialversicherungsfreie Beträge mtl.  (incl. §40b-alt)</t>
  </si>
  <si>
    <t>Sozialversicherungsfreier  Betrag p.a.  (incl. §40b-alt)</t>
  </si>
  <si>
    <t>Steuerfreie Entgeltumwandlung p.a.  (incl. §40b-alt)</t>
  </si>
  <si>
    <t>Sozialversicherungsfreie Entgeltumwandlung mtl.  (incl. §40b-alt)</t>
  </si>
  <si>
    <t>Sozialversicherungsfreie Entgeltumwandlung p.a.  (incl. §40b-alt)</t>
  </si>
  <si>
    <t>BAV-Betrag</t>
  </si>
  <si>
    <t>N</t>
  </si>
  <si>
    <t>AG Jahres-Zusatz-Förderbetrag  2018
 240 bis 480</t>
  </si>
  <si>
    <t>Monatsbeitrag eingeben:</t>
  </si>
  <si>
    <t>Jahresbeitrag und AG-Förderbetrag eingeben:</t>
  </si>
  <si>
    <t>AN steuerfrei</t>
  </si>
  <si>
    <t>AG
steuerfrei</t>
  </si>
  <si>
    <t>AN
SV-Frei</t>
  </si>
  <si>
    <t>AG
SV-Frei</t>
  </si>
  <si>
    <t>Fall-1a AN Entgeltumwandlug 2018 in Höhe von:</t>
  </si>
  <si>
    <t>Noch steuerfrei</t>
  </si>
  <si>
    <t>Noch
SV-Frei</t>
  </si>
  <si>
    <t>noch offen</t>
  </si>
  <si>
    <t>§ 40b Altzusage Jahresbeitrag und AG-Förderbetrag eingeben:</t>
  </si>
  <si>
    <t>J</t>
  </si>
  <si>
    <t>Steuer
pflichtig</t>
  </si>
  <si>
    <t>SV
pflichtig unterhalb BBG</t>
  </si>
  <si>
    <t>Eintrittsdatum</t>
  </si>
  <si>
    <t>Austrittsdatum plus 1 Tag (da erster Tag mitzählt)</t>
  </si>
  <si>
    <t xml:space="preserve">Jahresende des steuerlosen Zeitraums </t>
  </si>
  <si>
    <t>Lst-Abzug 
30%: 72 bis 144</t>
  </si>
  <si>
    <t>Kalendermonate ( maximal  120 Monate anrechenbar)</t>
  </si>
  <si>
    <t>Jahresanfang des im Inland steuerlosen ruhenden Arbeitsverhältnisses</t>
  </si>
  <si>
    <t>Beispiel 1:</t>
  </si>
  <si>
    <t>Arbeitgeber A zahlt im Jahr 2018 für den Arbeitnehmer B Beiträge</t>
  </si>
  <si>
    <t>i.H.v. 6.000 € an eine kapitalgedeckte Pensionskasse.</t>
  </si>
  <si>
    <t>Beispiel 2:</t>
  </si>
  <si>
    <t>Wie Bsp. 1. Der Arbeitgeber zahlt für den Arbeitnehmer B außerdem</t>
  </si>
  <si>
    <t>Beiträge an eine Direktversicherung i.H.v. 1.752 €, die nach „§ 40b</t>
  </si>
  <si>
    <t>EStG alt“ mit 20% pauschal besteuert werden.</t>
  </si>
  <si>
    <t>vermindert sich um den pauschal besteuerten Direktversicherungsbeitrag</t>
  </si>
  <si>
    <t>Der Beitrag des Arbeitgebers an die Pensionskasse i.H.v. 6.000 € ist</t>
  </si>
  <si>
    <t>Der Beitrag des Arbeitgebers an die MPK-Pensionskasse i.H.v. 6.000 € ist</t>
  </si>
  <si>
    <t xml:space="preserve">Im Fall der Durchschnittsberechnung nach § 40b Abs. 2 Satz 2 EStG a.F. </t>
  </si>
  <si>
    <t>sind beim Arbeitnehmer die auf ihn entfallenden Leistungen anzurechnen.</t>
  </si>
  <si>
    <r>
      <rPr>
        <b/>
        <sz val="16"/>
        <rFont val="Calibri"/>
        <family val="2"/>
        <scheme val="minor"/>
      </rPr>
      <t>Lösung:</t>
    </r>
    <r>
      <rPr>
        <sz val="16"/>
        <rFont val="Calibri"/>
        <family val="2"/>
        <scheme val="minor"/>
      </rPr>
      <t xml:space="preserve"> Der Beitrag ist in voller Höhe steuerfrei (§ 3 Nr. 63 Satz 1</t>
    </r>
  </si>
  <si>
    <t>Hinweis:</t>
  </si>
  <si>
    <t>Beispiel 3:</t>
  </si>
  <si>
    <t>Wie Bsp. 2. Es handelt sich um eine Gruppendirektversicherung. Der</t>
  </si>
  <si>
    <t>auf B entfallende, im Rahmen der Durchschnittsberechnung zulässigerweise</t>
  </si>
  <si>
    <t>pauschal besteuerte Beitrag beträgt 2.000 €.</t>
  </si>
  <si>
    <t>sich um die auf B entfallende Leistung i.H.v. 2.000 €, sodass</t>
  </si>
  <si>
    <t>2.000 €).</t>
  </si>
  <si>
    <t>Abgrenzung zwischen Altzusage und Neuzusage</t>
  </si>
  <si>
    <t>Beispiel 4:</t>
  </si>
  <si>
    <t>Arbeitgeber A stellt den Arbeitnehmer B im September 2017 neu und</t>
  </si>
  <si>
    <t>zahlt für ihn im Oktober 2017 für eine neu und erstmalig abgeschlossene</t>
  </si>
  <si>
    <t>Direktversicherung einen Beitrag von 4.000 €.</t>
  </si>
  <si>
    <t>die nach dem 31.12.2004 erteilt wurde). Der Beitrag ist steuerfrei, da</t>
  </si>
  <si>
    <t>sozialversicherungsrechtlich besteht Beitragsfreiheit aber lediglich</t>
  </si>
  <si>
    <t>bis 3.048 €.</t>
  </si>
  <si>
    <t>Zahlt der Arbeitgeber auch im Oktober 2018 für die Direktversicherung</t>
  </si>
  <si>
    <t>einen Beitrag von 4.000 €, ist dieser Beitrag steuerfrei, da</t>
  </si>
  <si>
    <t>er 8% der Beitragsbemessungsgrenze in der gesetzlichen Rentenversicherung</t>
  </si>
  <si>
    <t>nicht übersteigt. Beitragsfreiheit in der Sozialversicherung</t>
  </si>
  <si>
    <t>besteht allerdings auch im Jahr 2018 lediglich bis zu 4%</t>
  </si>
  <si>
    <t>der Beitragsbemessungsgrenze in der gesetzlichen Rentenversicherung.</t>
  </si>
  <si>
    <r>
      <rPr>
        <b/>
        <sz val="16"/>
        <color theme="1"/>
        <rFont val="Calibri"/>
        <family val="2"/>
        <scheme val="minor"/>
      </rPr>
      <t>Lösung:</t>
    </r>
    <r>
      <rPr>
        <sz val="16"/>
        <color theme="1"/>
        <rFont val="Calibri"/>
        <family val="2"/>
        <scheme val="minor"/>
      </rPr>
      <t xml:space="preserve"> Es handelt sich um eine Neuzusage (= Versorgungszusage,</t>
    </r>
  </si>
  <si>
    <t xml:space="preserve">Wurde für einen Arbeitnehmer vor dem 01.01.2018 – hier unter der Voraussetzung, </t>
  </si>
  <si>
    <t>dass eine Altzusage vorliegt – mindestens ein Beitrag nach § 40b EStG a.F.</t>
  </si>
  <si>
    <t>pauschal besteuert, liegen für diesen Arbeitnehmer die Voraussetzungen für die</t>
  </si>
  <si>
    <t xml:space="preserve">Pauschalbesteuerung sein ganzes Leben lang vor. Vertragsänderungen,Neuabschlüsse, </t>
  </si>
  <si>
    <t>Änderungen der Versorgungszusage, Arbeitgeberwechsel sind unbeachtlich.</t>
  </si>
  <si>
    <t>Beispiel 5:</t>
  </si>
  <si>
    <t>bereits im Jahre 2000 abgeschlossen und in all den Jahren stets mit</t>
  </si>
  <si>
    <t>20% pauschal besteuert.</t>
  </si>
  <si>
    <t>kann mit 20% pauschal besteuert werden.</t>
  </si>
  <si>
    <t>Arbeitgeber B zahlt für Arbeitnehmer C im Dezember 2018 einen</t>
  </si>
  <si>
    <t xml:space="preserve"> Direktversicherungsbeitrag von 1.752 €. Die Direktversicherung wurde</t>
  </si>
  <si>
    <r>
      <rPr>
        <b/>
        <sz val="16"/>
        <color theme="1"/>
        <rFont val="Calibri"/>
        <family val="2"/>
        <scheme val="minor"/>
      </rPr>
      <t>Lösung:</t>
    </r>
    <r>
      <rPr>
        <sz val="16"/>
        <color theme="1"/>
        <rFont val="Calibri"/>
        <family val="2"/>
        <scheme val="minor"/>
      </rPr>
      <t xml:space="preserve"> Auch der Direktversicherungsbeitrag im Dezember 2018</t>
    </r>
  </si>
  <si>
    <t>Beispiel 6:</t>
  </si>
  <si>
    <t>Wie Bsp. 5. Der Direktversicherungsbeitrag erhöht sich allerdings im</t>
  </si>
  <si>
    <t>Dezember 2018 von 1.200 € jährlich auf 1.440 € jährlich.</t>
  </si>
  <si>
    <t>i.H.v. 1.440 € mit 20% pauschal besteuert werden, da vor dem</t>
  </si>
  <si>
    <t>01.01.2018 (mindestens) ein Beitrag nach § 40b EStG pauschal besteuert</t>
  </si>
  <si>
    <t>worden ist. Die Beitragserhöhung – selbst wenn man von einer</t>
  </si>
  <si>
    <t>Vertragsänderung mit höherer Versorgungszusage ausgeht – ist</t>
  </si>
  <si>
    <t>unbeachtlich und steht der Pauschalbesteuerung des höheren Beitrags</t>
  </si>
  <si>
    <t>nicht entgegen.</t>
  </si>
  <si>
    <r>
      <rPr>
        <b/>
        <sz val="16"/>
        <color theme="1"/>
        <rFont val="Calibri"/>
        <family val="2"/>
        <scheme val="minor"/>
      </rPr>
      <t>Lösung:</t>
    </r>
    <r>
      <rPr>
        <sz val="16"/>
        <color theme="1"/>
        <rFont val="Calibri"/>
        <family val="2"/>
        <scheme val="minor"/>
      </rPr>
      <t xml:space="preserve"> Der Direktversicherungsbeitrag im Dezember 2018 kann</t>
    </r>
  </si>
  <si>
    <t>Steuerfreies Volumen der Beiträge zur betrieblichen Altersversorgung ab 2018</t>
  </si>
  <si>
    <t>Beispiel 7:</t>
  </si>
  <si>
    <t>Arbeitnehmer A wechselt zum 01.07.2018 vom Arbeitgeber B zum</t>
  </si>
  <si>
    <t>Arbeitgeber C und nimmt seine im Jahr 2000 abgeschlossene Direktversicherung</t>
  </si>
  <si>
    <t xml:space="preserve">mit. A weist dem neuen Arbeitgeber C durch eine Bescheinigung des bisherigen </t>
  </si>
  <si>
    <t>Arbeitgebers B nach, dass diese Direktversicherung bisher pauschal besteuert worden ist.</t>
  </si>
  <si>
    <t>bis zu einer Beitragshöhe von 1.752 € weiterhin mit 20% pauschal besteuern</t>
  </si>
  <si>
    <r>
      <rPr>
        <b/>
        <sz val="16"/>
        <color theme="1"/>
        <rFont val="Calibri"/>
        <family val="2"/>
        <scheme val="minor"/>
      </rPr>
      <t>Lösung:</t>
    </r>
    <r>
      <rPr>
        <sz val="16"/>
        <color theme="1"/>
        <rFont val="Calibri"/>
        <family val="2"/>
        <scheme val="minor"/>
      </rPr>
      <t xml:space="preserve"> Auch der neue Arbeitgeber C kann die Direktversicherung</t>
    </r>
  </si>
  <si>
    <t>Beispiel 8:</t>
  </si>
  <si>
    <t>Arbeitgeber A hat den Beitrag i.H.v. 1.752 € für die im Jahr 2000 abgeschlossene</t>
  </si>
  <si>
    <t>Direktversicherung zugunsten seines Arbeitnehmers B stets mit 20% pauschal besteuert.</t>
  </si>
  <si>
    <t>des Arbeitnehmers B aufzuzeichnen.</t>
  </si>
  <si>
    <r>
      <rPr>
        <b/>
        <sz val="16"/>
        <color theme="1"/>
        <rFont val="Calibri"/>
        <family val="2"/>
        <scheme val="minor"/>
      </rPr>
      <t>Lösung:</t>
    </r>
    <r>
      <rPr>
        <sz val="16"/>
        <color theme="1"/>
        <rFont val="Calibri"/>
        <family val="2"/>
        <scheme val="minor"/>
      </rPr>
      <t xml:space="preserve"> A hat die Tatsache, dass vor dem 01.01.2018 mindestens ein Beitrag zur</t>
    </r>
  </si>
  <si>
    <t xml:space="preserve">Direktversicherung pauschal besteuert wurde, im Lohnkonto des jeweiligen Kalenderjahres </t>
  </si>
  <si>
    <t>Betriebliche Altersversorgung bei Auflösung des Arbeitsverhältnisses</t>
  </si>
  <si>
    <t>Beispiel 9:</t>
  </si>
  <si>
    <t>Arbeitnehmer B scheidet im Jahre 2018 nach 15 Jahren aus der Firma</t>
  </si>
  <si>
    <t>des Arbeitgebers A aus. Er erhält eine Abfindung von 50.000 €, die er</t>
  </si>
  <si>
    <t>in größtmöglichem Umfang zum Ausbau seiner betrieblichen Altersversorgung</t>
  </si>
  <si>
    <t>nutzen will. Seine betriebliche Altersversorgung besteht</t>
  </si>
  <si>
    <t>seit zehn Jahren und Arbeitgeber A hat hierfür jährlich steuerfreie</t>
  </si>
  <si>
    <t>Beiträge i.H.v. 2.000 € eingezahlt.</t>
  </si>
  <si>
    <t>ist der Betrag von 50.000 € sozialversicherungsfrei.</t>
  </si>
  <si>
    <t xml:space="preserve">zum steuerfreien Ausbau der betrieblichen Altersversorgung verwendet werden. </t>
  </si>
  <si>
    <t xml:space="preserve"> ggf. unter Anwendung der Fünftelregelung ermäßigt besteuert werden kann. Als Abfindung</t>
  </si>
  <si>
    <t xml:space="preserve">Zukünftig sind bei Auflösung des Arbeitsverhältnisses Beiträge an Pensionsfonds, Pensionskassen und </t>
  </si>
  <si>
    <t>Direktversicherung bis zu 4% der Beitragsbemessungsgrenze in der gesetzlichen Rentenversicherung – West</t>
  </si>
  <si>
    <t xml:space="preserve"> – steuerfrei, vervielfältigt mit der Anzahl der Kalenderjahre, in denen das Arbeitsverhältnis bestanden hat. </t>
  </si>
  <si>
    <t>Dabei werden allerdings maximal zehn Kalenderjahre zugrunde gelegt (§ 3 Nr. 63 Satz 3 EStG – neu).</t>
  </si>
  <si>
    <t xml:space="preserve">Pauschal besteuerte Zuwendungen aus Anlass der Beendigung des Dienstverhältnisses (§ 40b Abs. 1 und </t>
  </si>
  <si>
    <t>Abs. 2 Satz 3 und 4 EStG in der am 31.12.2004 geltenden Fassung) werden allerdings auf das steuerfreie</t>
  </si>
  <si>
    <t xml:space="preserve"> Volumen angerechnet (§ 52 Abs. 4 Satz 14 EStG).</t>
  </si>
  <si>
    <t>Schließen von Versorgungslücken nach ruhenden Arbeitsverhältnissen</t>
  </si>
  <si>
    <t>Beispiel 10:</t>
  </si>
  <si>
    <t>Der Arbeitnehmer wird bei ruhendem Arbeitsverhältnis von 2019 bis einschließlich 2023</t>
  </si>
  <si>
    <r>
      <rPr>
        <b/>
        <sz val="16"/>
        <color theme="1"/>
        <rFont val="Calibri"/>
        <family val="2"/>
        <scheme val="minor"/>
      </rPr>
      <t xml:space="preserve">Lösung: </t>
    </r>
    <r>
      <rPr>
        <sz val="16"/>
        <color theme="1"/>
        <rFont val="Calibri"/>
        <family val="2"/>
        <scheme val="minor"/>
      </rPr>
      <t>Der Anfang 2024 für die Jahre 2019-2023 nachgezahlte Beitrag</t>
    </r>
  </si>
  <si>
    <t xml:space="preserve"> (= fünf Jahre) ins Ausland entsendet. Seine betriebliche Altersversorgung über eine </t>
  </si>
  <si>
    <t>Pensionskasse  ruhte in dieser Zeite  ebenfalls. Anfang 2024 zahlt der Arbeitgeber einen</t>
  </si>
  <si>
    <t xml:space="preserve"> Beitrag von15.000 € (fünf Jahre à 3.000 € jährlich) nach.</t>
  </si>
  <si>
    <t xml:space="preserve">Ebenfalls steuerfrei sind zukünftig Nachzahlungen von Beiträgen an Pensionsfonds, Pensionskassen </t>
  </si>
  <si>
    <t xml:space="preserve">und Direktversicherungen für maximal zehn Kalenderjahre in denen das Arbeitsverhältnis ruhte und in </t>
  </si>
  <si>
    <t>Deutschland kein steuerpflichtiger Arbeitslohn bezogen wurde  (§ 3 Nr. 63 Satz 4 EStG – neu).</t>
  </si>
  <si>
    <t xml:space="preserve">Zu beachten ist, dass nur Kalenderjahre berücksichtigt werden, in denen vom Arbeitgeber im Inland </t>
  </si>
  <si>
    <r>
      <t>vom</t>
    </r>
    <r>
      <rPr>
        <b/>
        <i/>
        <sz val="14"/>
        <color theme="1"/>
        <rFont val="Calibri"/>
        <family val="2"/>
        <scheme val="minor"/>
      </rPr>
      <t xml:space="preserve"> 01.01.-31.12. </t>
    </r>
    <r>
      <rPr>
        <i/>
        <sz val="14"/>
        <color theme="1"/>
        <rFont val="Calibri"/>
        <family val="2"/>
        <scheme val="minor"/>
      </rPr>
      <t xml:space="preserve"> kein steuerpflichtiger Arbeitslohn bezogen wurde;</t>
    </r>
  </si>
  <si>
    <t>Förderbetrag zur betrieblichen Altersversorgung bei Geringverdienern</t>
  </si>
  <si>
    <r>
      <rPr>
        <b/>
        <sz val="16"/>
        <color theme="1"/>
        <rFont val="Calibri"/>
        <family val="2"/>
        <scheme val="minor"/>
      </rPr>
      <t xml:space="preserve">Beispiel 11: </t>
    </r>
    <r>
      <rPr>
        <sz val="16"/>
        <color theme="1"/>
        <rFont val="Calibri"/>
        <family val="2"/>
        <scheme val="minor"/>
      </rPr>
      <t xml:space="preserve">
Arbeitnehmer A ist gering beschäftigt („450 €-Job“). Er bestätigt seinem Arbeitgeber B, dass es sich um das erste Arbeitsverhältnis handelt und er bei keinem anderen Arbeitgeber mit Steuerklasse I-V beschäftigt ist. 
</t>
    </r>
    <r>
      <rPr>
        <b/>
        <sz val="16"/>
        <color theme="1"/>
        <rFont val="Calibri"/>
        <family val="2"/>
        <scheme val="minor"/>
      </rPr>
      <t>Lösung</t>
    </r>
    <r>
      <rPr>
        <sz val="16"/>
        <color theme="1"/>
        <rFont val="Calibri"/>
        <family val="2"/>
        <scheme val="minor"/>
      </rPr>
      <t>: Der Förderbetrag zur betrieblichen Altersversorgung kann in Anspruch genommen werden, da es sich bei A um einen Gering¬verdiener im ersten Arbeitsverhältnis handelt.</t>
    </r>
  </si>
  <si>
    <t>Ab 2018 wird erstmalig ein Förderbetrag zur kapitalgedeckten betrieblichen Altersversorgung für Gering-verdiener mit ersten Arbeitsverhältnis beim Arbeitgeber (also bei Arbeitnehmern mit Steuerklasse I-V oder Bestimmung des ersten Arbeitsver¬hältnisses durch den Arbeitnehmer bei pauschal besteuertem Arbeitslohn; im Umkehrschluss also nicht bei Arbeitnehmern mit Steuerklasse VI) eingeführt (§ 100 Abs. 1 EStG – neu). Es ist allerdings zulässig, den Förderbetrag bei einem Arbeitgeberwechsel im Laufe des Kalenderjahres mehrfach in Anspruch zu nehmen.</t>
  </si>
  <si>
    <t>Begriff des Geringverdieners</t>
  </si>
  <si>
    <r>
      <rPr>
        <b/>
        <sz val="16"/>
        <color theme="1"/>
        <rFont val="Calibri"/>
        <family val="2"/>
        <scheme val="minor"/>
      </rPr>
      <t xml:space="preserve">Beispiel 12: </t>
    </r>
    <r>
      <rPr>
        <sz val="16"/>
        <color theme="1"/>
        <rFont val="Calibri"/>
        <family val="2"/>
        <scheme val="minor"/>
      </rPr>
      <t xml:space="preserve">
Arbeitnehmer B (jew. Geringverdiener) ist beim Arbeitgeber C mit Steuerklasse I und beim Arbeitgeber D mit Steuerklasse VI beschäftigt. 
</t>
    </r>
    <r>
      <rPr>
        <b/>
        <sz val="16"/>
        <color theme="1"/>
        <rFont val="Calibri"/>
        <family val="2"/>
        <scheme val="minor"/>
      </rPr>
      <t xml:space="preserve">Lösung: </t>
    </r>
    <r>
      <rPr>
        <sz val="16"/>
        <color theme="1"/>
        <rFont val="Calibri"/>
        <family val="2"/>
        <scheme val="minor"/>
      </rPr>
      <t xml:space="preserve">Der Förderbetrag zur betrieblichen Altersversorgung kann bei Vorliegen der übrigen Voraussetzungen nur bei Arbeitgeber C (= erstes Arbeitsverhältnis) in Anspruch genommen werden. 
</t>
    </r>
    <r>
      <rPr>
        <b/>
        <sz val="16"/>
        <color theme="1"/>
        <rFont val="Calibri"/>
        <family val="2"/>
        <scheme val="minor"/>
      </rPr>
      <t xml:space="preserve">Beispiel 13: </t>
    </r>
    <r>
      <rPr>
        <sz val="16"/>
        <color theme="1"/>
        <rFont val="Calibri"/>
        <family val="2"/>
        <scheme val="minor"/>
      </rPr>
      <t xml:space="preserve">
Arbeitnehmer B (jew. Geringverdiener) ist vom 01.01.-31.07.2018 beim Arbeitgeber C und ab 01.08.2017 beim Arbeitgeber D jew. mit Steuerklasse I beschäftigt. 
</t>
    </r>
    <r>
      <rPr>
        <b/>
        <sz val="16"/>
        <color theme="1"/>
        <rFont val="Calibri"/>
        <family val="2"/>
        <scheme val="minor"/>
      </rPr>
      <t xml:space="preserve">Lösung: </t>
    </r>
    <r>
      <rPr>
        <sz val="16"/>
        <color theme="1"/>
        <rFont val="Calibri"/>
        <family val="2"/>
        <scheme val="minor"/>
      </rPr>
      <t>Der Förderbetrag zur betrieblichen Altersversorgung kann bei Vorliegen der übrigen Voraussetzungen sowohl beim Arbeitgeber C als auch beim Arbeitgeber D in Anspruch genommen werden, da es sich jew. um das erste Arbeitsverhältnis handelt.</t>
    </r>
  </si>
  <si>
    <t xml:space="preserve">Riester-Zulage GZ 175 
</t>
  </si>
  <si>
    <t xml:space="preserve">Riester-Zulage  
 Ki vor 2008 185  </t>
  </si>
  <si>
    <t xml:space="preserve">Riester-Zulage  
 Ki nach 2008 300  </t>
  </si>
  <si>
    <t xml:space="preserve">Riester-  
Einmal-Zulage
&lt; 25J   200
 </t>
  </si>
  <si>
    <t>SV-Zusatzbeitrag durch AG
KV/PV- Beitragsatz</t>
  </si>
  <si>
    <t>SV-Zusatzbeitrag durch AG
RV/AV-Beitragsatz</t>
  </si>
  <si>
    <t xml:space="preserve">Nur SV-Ersparnis </t>
  </si>
  <si>
    <t>Renten-BBG-aktuell</t>
  </si>
  <si>
    <t>Bruttogehalt p.a.</t>
  </si>
  <si>
    <r>
      <t xml:space="preserve">Riester-Brutto
einkommen
</t>
    </r>
    <r>
      <rPr>
        <b/>
        <sz val="10"/>
        <color rgb="FFFF0000"/>
        <rFont val="Calibri"/>
        <family val="2"/>
        <scheme val="minor"/>
      </rPr>
      <t>Vorjahr</t>
    </r>
  </si>
  <si>
    <t>AG neuer Förderbetrag nur für Geringverdiener
LST-Sofort-Abzug</t>
  </si>
  <si>
    <r>
      <t xml:space="preserve">Förderbetrag für </t>
    </r>
    <r>
      <rPr>
        <b/>
        <u/>
        <sz val="11"/>
        <rFont val="Calibri"/>
        <family val="2"/>
        <scheme val="minor"/>
      </rPr>
      <t>ein erstes AV</t>
    </r>
  </si>
  <si>
    <t>Fall-1 AG zahlt BAV  für AN 2018 in Höhe von:</t>
  </si>
  <si>
    <r>
      <t xml:space="preserve">Mindestbeitrag &gt; 4%
</t>
    </r>
    <r>
      <rPr>
        <b/>
        <sz val="10"/>
        <color rgb="FF7030A0"/>
        <rFont val="Calibri"/>
        <family val="2"/>
        <scheme val="minor"/>
      </rPr>
      <t>Eigenbeitrag</t>
    </r>
    <r>
      <rPr>
        <b/>
        <sz val="10"/>
        <color theme="1"/>
        <rFont val="Calibri"/>
        <family val="2"/>
        <scheme val="minor"/>
      </rPr>
      <t xml:space="preserve">
nach Zulagen
mind. 60€</t>
    </r>
  </si>
  <si>
    <r>
      <t xml:space="preserve">Riester
Sockelbetrag
</t>
    </r>
    <r>
      <rPr>
        <b/>
        <sz val="10"/>
        <color rgb="FF002060"/>
        <rFont val="Calibri"/>
        <family val="2"/>
        <scheme val="minor"/>
      </rPr>
      <t>Gesamt Betrag p.a.</t>
    </r>
  </si>
  <si>
    <r>
      <t>Fall-2 AG / AN zahlt BAV-</t>
    </r>
    <r>
      <rPr>
        <b/>
        <sz val="11"/>
        <color theme="5"/>
        <rFont val="Calibri"/>
        <family val="2"/>
        <scheme val="minor"/>
      </rPr>
      <t>pauschal §40b</t>
    </r>
    <r>
      <rPr>
        <b/>
        <sz val="11"/>
        <color rgb="FF7030A0"/>
        <rFont val="Calibri"/>
        <family val="2"/>
        <scheme val="minor"/>
      </rPr>
      <t xml:space="preserve"> alt in Höhe von:</t>
    </r>
  </si>
  <si>
    <t>Fall-3 AG / AN zahlt BAV-Beitrag</t>
  </si>
  <si>
    <t>Neuzusage  nach 2004  Jahresbeitrag 2018 und 
AG-Förderbetrag eingeben:</t>
  </si>
  <si>
    <r>
      <t xml:space="preserve">Fall - 4 Auflösung des Arbeitsverhältnisses </t>
    </r>
    <r>
      <rPr>
        <b/>
        <sz val="11"/>
        <rFont val="Calibri"/>
        <family val="2"/>
        <scheme val="minor"/>
      </rPr>
      <t>mit Abfindung zur BAV  
nach § 3 Nr.63 S.3 EStG 4% der BBG steuerfrei</t>
    </r>
  </si>
  <si>
    <r>
      <t xml:space="preserve">Fall-5 </t>
    </r>
    <r>
      <rPr>
        <b/>
        <i/>
        <sz val="11"/>
        <color theme="1"/>
        <rFont val="Calibri"/>
        <family val="2"/>
        <scheme val="minor"/>
      </rPr>
      <t>Nachzahlung bei Versorgungslücken</t>
    </r>
    <r>
      <rPr>
        <b/>
        <sz val="11"/>
        <color theme="1"/>
        <rFont val="Calibri"/>
        <family val="2"/>
        <scheme val="minor"/>
      </rPr>
      <t xml:space="preserve"> durch ruhende Beschäftigung in Deutschland ohne Steuerpflicht wie Elternzeit, Entsendung, Sabbaticle usw.nach § 3 Nr.63 S.4 EStG 8% der BBG steuerfrei für nur volle Kalenderjahre ohne Steuerpflicht in Deuschland</t>
    </r>
  </si>
  <si>
    <t>AN steuerfrei Entgeltumwandlung</t>
  </si>
  <si>
    <t>AN 
SV-Frei Entgeltumwandlung</t>
  </si>
  <si>
    <t>Summe BAV-Beitrag und Förderbetrag</t>
  </si>
  <si>
    <t>Werte nach AG-Beitrag</t>
  </si>
  <si>
    <t>Gesamt-bAV</t>
  </si>
  <si>
    <t>§ 40b Altzusage Jahresbeitrag :</t>
  </si>
  <si>
    <r>
      <t xml:space="preserve">Fall - 4 Auflösung des Arbeitsverhältnisses </t>
    </r>
    <r>
      <rPr>
        <b/>
        <sz val="11"/>
        <rFont val="Calibri"/>
        <family val="2"/>
        <scheme val="minor"/>
      </rPr>
      <t xml:space="preserve">mit Abfindung zur BAV  
 nach § 3 Nr.63 S.3 EStG </t>
    </r>
    <r>
      <rPr>
        <b/>
        <sz val="16"/>
        <rFont val="Calibri"/>
        <family val="2"/>
        <scheme val="minor"/>
      </rPr>
      <t>4% der BBG</t>
    </r>
    <r>
      <rPr>
        <b/>
        <sz val="11"/>
        <rFont val="Calibri"/>
        <family val="2"/>
        <scheme val="minor"/>
      </rPr>
      <t xml:space="preserve"> steuerfrei (und SV-frei da kein Lohn)</t>
    </r>
  </si>
  <si>
    <r>
      <t xml:space="preserve">Fall-5 </t>
    </r>
    <r>
      <rPr>
        <b/>
        <i/>
        <sz val="11"/>
        <color theme="1"/>
        <rFont val="Calibri"/>
        <family val="2"/>
        <scheme val="minor"/>
      </rPr>
      <t>Nachzahlung bei Versorgungslücken</t>
    </r>
    <r>
      <rPr>
        <b/>
        <sz val="11"/>
        <color theme="1"/>
        <rFont val="Calibri"/>
        <family val="2"/>
        <scheme val="minor"/>
      </rPr>
      <t xml:space="preserve"> durch ruhende Beschäftigung in Deutschland ohne Steuerpflicht wie Elternzeit, Entsendung, Sabbaticle usw.nach          § 3 Nr.63 S.4 EStG </t>
    </r>
    <r>
      <rPr>
        <b/>
        <sz val="12"/>
        <color theme="1"/>
        <rFont val="Calibri"/>
        <family val="2"/>
        <scheme val="minor"/>
      </rPr>
      <t xml:space="preserve">8% </t>
    </r>
    <r>
      <rPr>
        <b/>
        <sz val="11"/>
        <color theme="1"/>
        <rFont val="Calibri"/>
        <family val="2"/>
        <scheme val="minor"/>
      </rPr>
      <t xml:space="preserve">der BBG steuerfrei und (SV-Frei) für 
</t>
    </r>
    <r>
      <rPr>
        <b/>
        <sz val="12"/>
        <color rgb="FFFF0000"/>
        <rFont val="Calibri"/>
        <family val="2"/>
        <scheme val="minor"/>
      </rPr>
      <t>nur volle Kalenderjahre ohne Steuerpflicht in Deuschland</t>
    </r>
  </si>
  <si>
    <t>Jahresbeitrageingeben:</t>
  </si>
  <si>
    <t>Monatsgehalt</t>
  </si>
  <si>
    <r>
      <rPr>
        <b/>
        <sz val="12"/>
        <color theme="1"/>
        <rFont val="Calibri"/>
        <family val="2"/>
        <scheme val="minor"/>
      </rPr>
      <t>SV-Zusatzbeitrag</t>
    </r>
    <r>
      <rPr>
        <b/>
        <sz val="10"/>
        <color theme="1"/>
        <rFont val="Calibri"/>
        <family val="2"/>
        <scheme val="minor"/>
      </rPr>
      <t xml:space="preserve">                 durch AG
KV/PV- Beitragsatz</t>
    </r>
  </si>
  <si>
    <r>
      <rPr>
        <b/>
        <sz val="12"/>
        <color theme="1"/>
        <rFont val="Calibri"/>
        <family val="2"/>
        <scheme val="minor"/>
      </rPr>
      <t>SV-Zusatzbeitrag</t>
    </r>
    <r>
      <rPr>
        <b/>
        <sz val="10"/>
        <color theme="1"/>
        <rFont val="Calibri"/>
        <family val="2"/>
        <scheme val="minor"/>
      </rPr>
      <t xml:space="preserve"> durch AG
RV/AV-Beitragsatz</t>
    </r>
  </si>
  <si>
    <t xml:space="preserve">Riester-  
Einmal-Zulage
Alter &lt; 25J  
 200
 </t>
  </si>
  <si>
    <t xml:space="preserve">Riester-Zulage 
Grundzulage
 175 
</t>
  </si>
  <si>
    <t xml:space="preserve">Riester-Kinderzulage  
 Kinder vor 2008 geboren
 185  </t>
  </si>
  <si>
    <t xml:space="preserve">Riester-Kinderzulage  
 Kinder nach 2008 geboren
 300  </t>
  </si>
  <si>
    <t>nach Abzug der Zulagen</t>
  </si>
  <si>
    <t>mit Zulage</t>
  </si>
  <si>
    <t xml:space="preserve">Monatsbeitrag </t>
  </si>
  <si>
    <t>Gesamtzulage</t>
  </si>
  <si>
    <t>Jahresbeitrag  nach Zulageabzug</t>
  </si>
  <si>
    <t>Jahresbeitrag mit Zulagen</t>
  </si>
  <si>
    <r>
      <t>anteilg</t>
    </r>
    <r>
      <rPr>
        <sz val="12"/>
        <color theme="1"/>
        <rFont val="Calibri"/>
        <family val="2"/>
        <scheme val="minor"/>
      </rPr>
      <t xml:space="preserve"> &lt;</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p.a.</t>
    </r>
  </si>
  <si>
    <t>betriebliche Riesterförderung aus dem Nettogehalt</t>
  </si>
  <si>
    <r>
      <t xml:space="preserve">Riester-Brutto
einkommen
</t>
    </r>
    <r>
      <rPr>
        <b/>
        <sz val="10"/>
        <color rgb="FFFF0000"/>
        <rFont val="Calibri"/>
        <family val="2"/>
        <scheme val="minor"/>
      </rPr>
      <t>Vorjahr
eingeben</t>
    </r>
  </si>
  <si>
    <r>
      <t xml:space="preserve">Mindestbeitrag &gt; 4% p.a.
</t>
    </r>
    <r>
      <rPr>
        <b/>
        <sz val="10"/>
        <color rgb="FF7030A0"/>
        <rFont val="Calibri"/>
        <family val="2"/>
        <scheme val="minor"/>
      </rPr>
      <t>Eigenbeitrag</t>
    </r>
    <r>
      <rPr>
        <b/>
        <sz val="10"/>
        <color theme="1"/>
        <rFont val="Calibri"/>
        <family val="2"/>
        <scheme val="minor"/>
      </rPr>
      <t xml:space="preserve">
</t>
    </r>
    <r>
      <rPr>
        <b/>
        <sz val="10"/>
        <color rgb="FFFF0000"/>
        <rFont val="Calibri"/>
        <family val="2"/>
        <scheme val="minor"/>
      </rPr>
      <t>nach Zulagen mind. 60€</t>
    </r>
    <r>
      <rPr>
        <b/>
        <sz val="10"/>
        <color theme="1"/>
        <rFont val="Calibri"/>
        <family val="2"/>
        <scheme val="minor"/>
      </rPr>
      <t xml:space="preserve">
</t>
    </r>
    <r>
      <rPr>
        <b/>
        <sz val="10"/>
        <color rgb="FFFF0000"/>
        <rFont val="Calibri"/>
        <family val="2"/>
        <scheme val="minor"/>
      </rPr>
      <t>%-Satz eingeben</t>
    </r>
  </si>
  <si>
    <t>Anzahl Kinder</t>
  </si>
  <si>
    <t>Alter</t>
  </si>
  <si>
    <t>Geringverdiener in diesem Sinn sind Arbeitnehmer, deren laufender Arbeitslohn im Zeitpunkt der Beitragsleistung nicht mehr als 2.200 € monatlich (73,34 € bei täglicher Lohnzahlung, 513,34 € bei wöchentlicher Lohnzahlung und 26.400 € bei jährlicher Lohnzahlung) beträgt (§ 100 Abs. 3 Satz 1 Nr. 3 Buchst. a-d EStG – neu</t>
  </si>
  <si>
    <t>Beim Förderbetrag zur betrieblichen Altersversorgung darf eine Auszahlung der Versorgungsleistungen nur in Form einer Rente oder eines Auszahlungsplans vorgesehen sein (§ 100 Abs. 3 Satz 1 Nr. 4 EStG – neu). Dies entspricht den bereits geltenden Regelungen für die Steuerfreiheit der Beiträge zur betrieblichen Altersversorgung . Allein die Möglichkeit, anstelle lebenslanger Altersversorgungsleistungen eine Kapitalauszahlung zu wählen, steht der Inanspruchnahme des Förderbetrags zur betrieblichen Altersversorgung nicht entgegen; auch dies entspricht den geltenden Regelungen zur Steuerfreiheit der Beiträge zur betrieblichen Altersversorgung nach § 3 Nr. 63 EStG. Wird das Wahlrecht allerdings zugunsten einer Kapitalauszahlung ausgeübt, unterliegt diese der vollen Besteuerung als sonstige Einkünfte (§ 22 Nr. 5 Satz 1 EStG).</t>
  </si>
  <si>
    <r>
      <rPr>
        <b/>
        <sz val="16"/>
        <color theme="1"/>
        <rFont val="Calibri"/>
        <family val="2"/>
        <scheme val="minor"/>
      </rPr>
      <t>Beispiel 14</t>
    </r>
    <r>
      <rPr>
        <sz val="16"/>
        <color theme="1"/>
        <rFont val="Calibri"/>
        <family val="2"/>
        <scheme val="minor"/>
      </rPr>
      <t xml:space="preserve">:
Arbeitnehmer E hat einen laufenden Arbeitslohn von 2.100 € und Anspruch auf Weih-nachtsgeld in entsprechender Höhe. Der Jahresarbeitslohn beträgt somit 27.300 € (2.100 € × 13 Monate). Umgerechnet auf 12 Monate ergibt sich ein Monatslohn i.H.v. 2.275 €.
</t>
    </r>
    <r>
      <rPr>
        <b/>
        <sz val="16"/>
        <color theme="1"/>
        <rFont val="Calibri"/>
        <family val="2"/>
        <scheme val="minor"/>
      </rPr>
      <t>Lösung</t>
    </r>
    <r>
      <rPr>
        <sz val="16"/>
        <color theme="1"/>
        <rFont val="Calibri"/>
        <family val="2"/>
        <scheme val="minor"/>
      </rPr>
      <t>: E ist Geringverdiener, da der laufende Arbeitslohn (hier: 2.100 €) den Betrag von 2.200 € nicht übersteigt. Das Weihnachtsgeld (= sonstiger Bezug) wird für die Prüfung der Geringverdienergrenze nicht berücksichtigt.</t>
    </r>
  </si>
  <si>
    <r>
      <rPr>
        <b/>
        <sz val="16"/>
        <color theme="1"/>
        <rFont val="Calibri"/>
        <family val="2"/>
        <scheme val="minor"/>
      </rPr>
      <t>Beispiel 15:</t>
    </r>
    <r>
      <rPr>
        <sz val="16"/>
        <color theme="1"/>
        <rFont val="Calibri"/>
        <family val="2"/>
        <scheme val="minor"/>
      </rPr>
      <t xml:space="preserve">
Die beiden Arbeitnehmer in der Firma des Arbeitgebers G haben einen laufenden Arbeitslohn i.H.v. 2.180 €. Außerdem erhalten sie monatlich eine Prepaid-Card zum Online-Einkauf im Internet i.H.v. 40 €. Die Barauszahlung eines (Rest-)Guthabens ist ausgeschlossen.
</t>
    </r>
    <r>
      <rPr>
        <b/>
        <sz val="16"/>
        <color theme="1"/>
        <rFont val="Calibri"/>
        <family val="2"/>
        <scheme val="minor"/>
      </rPr>
      <t>Lösung:</t>
    </r>
    <r>
      <rPr>
        <sz val="16"/>
        <color theme="1"/>
        <rFont val="Calibri"/>
        <family val="2"/>
        <scheme val="minor"/>
      </rPr>
      <t xml:space="preserve"> Die beiden Arbeitnehmer des Arbeitgebers G sind Geringverdiener, da der laufende Arbeitslohn (hier: 2.180 €) den Betrag von 2.200 € nicht übersteigt. Der monatliche Sachbezug von 40 € fällt unter die 44-€-Freigrenze für Sachbezüge und bleibt daher bei der Prüfung der Geringverdienergrenze unberücksichtigt.</t>
    </r>
  </si>
  <si>
    <r>
      <rPr>
        <b/>
        <sz val="16"/>
        <color theme="1"/>
        <rFont val="Calibri"/>
        <family val="2"/>
        <scheme val="minor"/>
      </rPr>
      <t>Beispiel 17:</t>
    </r>
    <r>
      <rPr>
        <sz val="16"/>
        <color theme="1"/>
        <rFont val="Calibri"/>
        <family val="2"/>
        <scheme val="minor"/>
      </rPr>
      <t xml:space="preserve">
Bei einem Arbeitnehmer beträgt im Januar 2018 der laufende Arbeitslohn 2.150 €. Der Arbeitgeber zahlt einen zusätzlichen, monatlichen Arbeitgeberbeitrag i.H.v. 40 € und nimmt mit der LSt-Anmeldung für Januar 2018 den BAV-Förderbetrag in Anspruch. Ab Mai 2018 steigt der laufende Arbeitslohn um 3% auf 2.214,50 €. Der Arbeitgeber zahlt
weiterhin monatlich den zusätzlichen Arbeitgeberbeitrag i.H.v. 40 €.</t>
    </r>
    <r>
      <rPr>
        <b/>
        <sz val="16"/>
        <color theme="1"/>
        <rFont val="Calibri"/>
        <family val="2"/>
        <scheme val="minor"/>
      </rPr>
      <t xml:space="preserve">
Lösung</t>
    </r>
    <r>
      <rPr>
        <sz val="16"/>
        <color theme="1"/>
        <rFont val="Calibri"/>
        <family val="2"/>
        <scheme val="minor"/>
      </rPr>
      <t>: Ab Mai 2018 kann der BAV-Förderbetrag nicht mehr in Anspruch genommen werden. Dass ab Mai 2018 die Geringverdienergrenze von 2.200 € monatlich überschritten wird, hat aber keinen Einfluss auf den bereits in den Monaten Januar-April 2018 in Anspruch genommenen BAV-Förderbetrag. Die Förderung wird also für diese
Monate nicht zurückgefordert.</t>
    </r>
  </si>
  <si>
    <r>
      <rPr>
        <b/>
        <sz val="16"/>
        <color theme="1"/>
        <rFont val="Calibri"/>
        <family val="2"/>
        <scheme val="minor"/>
      </rPr>
      <t>Beispiel 18:</t>
    </r>
    <r>
      <rPr>
        <sz val="16"/>
        <color theme="1"/>
        <rFont val="Calibri"/>
        <family val="2"/>
        <scheme val="minor"/>
      </rPr>
      <t xml:space="preserve">
Der Arbeitgeber zahlt für einen unbefristet beschäftigten Arbeitnehmer (= Geringverdiener) einen zusätzlichen Arbeitgeberbeitrag zur kapitalgedeckten betrieblichen Altersversorgung i.H.v. 20 € monatlich an eine Pensionskasse. In den LSt-Anmeldungen nimmt er hierfür den BAV-Förderbetrag in Anspruch. Zum 31.08.2018 scheidet
der Arbeitnehmer unerwartet aus dem Unternehmen aus. Daher kann der vom Arbeitgeber zu zahlende jährliche Mindestbetrag von 240 € nicht mehr erreicht werden.
</t>
    </r>
    <r>
      <rPr>
        <b/>
        <sz val="16"/>
        <color theme="1"/>
        <rFont val="Calibri"/>
        <family val="2"/>
        <scheme val="minor"/>
      </rPr>
      <t>Lösung:</t>
    </r>
    <r>
      <rPr>
        <sz val="16"/>
        <color theme="1"/>
        <rFont val="Calibri"/>
        <family val="2"/>
        <scheme val="minor"/>
      </rPr>
      <t xml:space="preserve"> Der Arbeitgeber erhält in den Monaten Januar-August einen Förderbetrag i.H.v. 6 € (30% von 20 €). Der Förderbetrag wird aufgrund des Ausscheidens des A nicht rückgängig gemacht.</t>
    </r>
  </si>
  <si>
    <r>
      <rPr>
        <b/>
        <sz val="16"/>
        <color theme="1"/>
        <rFont val="Calibri"/>
        <family val="2"/>
        <scheme val="minor"/>
      </rPr>
      <t>Beispiel 19:</t>
    </r>
    <r>
      <rPr>
        <sz val="16"/>
        <color theme="1"/>
        <rFont val="Calibri"/>
        <family val="2"/>
        <scheme val="minor"/>
      </rPr>
      <t xml:space="preserve">
Arbeitgeber A zahlt für den Arbeitnehmer B (= Geringverdiener) zusätzliche Arbeitgeberbeiträge zur betrieblichen Altersversorgung und nimmt den Förderbetrag in Anspruch. Der Arbeitnehmer scheidet vor Ablauf der dreijährigen Unverfallbarkeitsfrist aus dem Unternehmen aus und der Arbeitgeber erhält eine entsprechende Rückzahlung der Versorgungseinrichtung.
</t>
    </r>
    <r>
      <rPr>
        <b/>
        <sz val="16"/>
        <color theme="1"/>
        <rFont val="Calibri"/>
        <family val="2"/>
        <scheme val="minor"/>
      </rPr>
      <t>Lösung</t>
    </r>
    <r>
      <rPr>
        <sz val="16"/>
        <color theme="1"/>
        <rFont val="Calibri"/>
        <family val="2"/>
        <scheme val="minor"/>
      </rPr>
      <t>: In der LSt-Anmeldung für den Lohnzahlungszeitraum, in dem die Rückzahlung dem Arbeitgeber zufließt, ist der Förderbetrag  der an das FA abzuführenden LSt hinzuzurechnen (§ 100 Abs. 4 Satz 4 – EStG – neu)</t>
    </r>
    <r>
      <rPr>
        <sz val="11"/>
        <color theme="1"/>
        <rFont val="Calibri"/>
        <family val="2"/>
        <scheme val="minor"/>
      </rPr>
      <t>.</t>
    </r>
  </si>
  <si>
    <r>
      <rPr>
        <b/>
        <sz val="16"/>
        <color theme="1"/>
        <rFont val="Calibri"/>
        <family val="2"/>
        <scheme val="minor"/>
      </rPr>
      <t>Beispiel 22:</t>
    </r>
    <r>
      <rPr>
        <sz val="16"/>
        <color theme="1"/>
        <rFont val="Calibri"/>
        <family val="2"/>
        <scheme val="minor"/>
      </rPr>
      <t xml:space="preserve">
Der Arbeitgeber zahlt für einen Geringverdiener seit mehreren Jahren einen zusätzlichen Arbeitgeberbeitrag zur kapitalgedeckten betrieblichen Altersversorgung an eine Pensionskasse i.H.v. 200 € jährlich. Er erhöht den Arbeitgeberbeitrag ab dem Jahr 2018 auf 300 €.
</t>
    </r>
    <r>
      <rPr>
        <b/>
        <sz val="16"/>
        <color theme="1"/>
        <rFont val="Calibri"/>
        <family val="2"/>
        <scheme val="minor"/>
      </rPr>
      <t xml:space="preserve">Lösung: </t>
    </r>
    <r>
      <rPr>
        <sz val="16"/>
        <color theme="1"/>
        <rFont val="Calibri"/>
        <family val="2"/>
        <scheme val="minor"/>
      </rPr>
      <t>Der Förderbetrag zur betrieblichen Altersversorgung beträgt 30% von 300 € = 90 €. Es erfolgt keine Begrenzung der Förderung, da der Arbeitgeberbeitrag gegenüber dem Referenzjahr 2016 um 100 € erhöht worden ist.</t>
    </r>
  </si>
  <si>
    <r>
      <rPr>
        <b/>
        <sz val="16"/>
        <color theme="1"/>
        <rFont val="Calibri"/>
        <family val="2"/>
        <scheme val="minor"/>
      </rPr>
      <t>Beispiel 20:</t>
    </r>
    <r>
      <rPr>
        <sz val="16"/>
        <color theme="1"/>
        <rFont val="Calibri"/>
        <family val="2"/>
        <scheme val="minor"/>
      </rPr>
      <t xml:space="preserve">
Der Arbeitgeber zahlt für einen Geringverdiener seit mehreren Jahren einen zusätzlichen Arbeitgeberbeitrag zur kapitalgedeckten betrieblichen Altersversorgung an eine Pensionskasse i.H.v. 200 € jährlich. Er erhöht den Arbeitgeberbeitrag ab dem Jahr 2018 auf 240 €, um den Mindestbetrag für den Förderbetrag zu erreichen.
</t>
    </r>
    <r>
      <rPr>
        <b/>
        <sz val="16"/>
        <color theme="1"/>
        <rFont val="Calibri"/>
        <family val="2"/>
        <scheme val="minor"/>
      </rPr>
      <t>Lösung</t>
    </r>
    <r>
      <rPr>
        <sz val="16"/>
        <color theme="1"/>
        <rFont val="Calibri"/>
        <family val="2"/>
        <scheme val="minor"/>
      </rPr>
      <t xml:space="preserve">: Der Förderbetrag zur betrieblichen Altersversorgung beträgt grds. 30% von 240 € = 72 €, wegen der gesetzlich vorgesehenen Begrenzung jedoch höchstens 40 € (= Erhöhung des Arbeitgeberbeitrags; § 100 Abs. 2 Satz 2 EStG – neu).
</t>
    </r>
    <r>
      <rPr>
        <b/>
        <sz val="16"/>
        <color theme="1"/>
        <rFont val="Calibri"/>
        <family val="2"/>
        <scheme val="minor"/>
      </rPr>
      <t>Beispiel 21:</t>
    </r>
    <r>
      <rPr>
        <sz val="16"/>
        <color theme="1"/>
        <rFont val="Calibri"/>
        <family val="2"/>
        <scheme val="minor"/>
      </rPr>
      <t xml:space="preserve">
Der zusätzliche Arbeitgeberbeitrag betrug im Kalenderjahr 2016 200 € und im Kalenderjahr 2017 0 €.
</t>
    </r>
    <r>
      <rPr>
        <b/>
        <sz val="16"/>
        <color theme="1"/>
        <rFont val="Calibri"/>
        <family val="2"/>
        <scheme val="minor"/>
      </rPr>
      <t xml:space="preserve">Lösung: </t>
    </r>
    <r>
      <rPr>
        <sz val="16"/>
        <color theme="1"/>
        <rFont val="Calibri"/>
        <family val="2"/>
        <scheme val="minor"/>
      </rPr>
      <t>Der Förderbetrag zur betrieblichen Altersversorgung beträgt
im Kalenderjahr 2018 grds. 30% von 240 € = 72 €, wegen der gesetzlich vorgesehenen Begrenzung jedoch höchstens 40 € (= Erhöhung des Arbeitgeberbeitrags; § 100 Abs. 2 Satz 2 EStG – neu). Vergleichsjahr für die Begrenzung des Förderbetrags ist das Jahr 2016 und nicht das Jahr 2017.</t>
    </r>
  </si>
  <si>
    <r>
      <rPr>
        <b/>
        <sz val="16"/>
        <color theme="1"/>
        <rFont val="Calibri"/>
        <family val="2"/>
        <scheme val="minor"/>
      </rPr>
      <t>Beispiel 16:</t>
    </r>
    <r>
      <rPr>
        <sz val="16"/>
        <color theme="1"/>
        <rFont val="Calibri"/>
        <family val="2"/>
        <scheme val="minor"/>
      </rPr>
      <t xml:space="preserve">
Der Arbeitgeber A leistet für seinen Arbeitnehmer B (= Geringverdiener) im März 2018 erstmals einen zusätzlichen Arbeitgeberbeitrag an eine kapitalgedeckte Pensionskasse über 300 €. Lösung: Über die LSt-Anmeldung März 2018 erhält Arbeitgeber A im April 2018 vom FA einen Förderbetrag von 90 € (30% von 300 €). Der Förderbetrag mindert den Gesamtbetrag der von A an das FA abzuführenden LSt. </t>
    </r>
    <r>
      <rPr>
        <sz val="16"/>
        <color rgb="FFC00000"/>
        <rFont val="Calibri"/>
        <family val="2"/>
        <scheme val="minor"/>
      </rPr>
      <t>Fällt keine LSt an oder ist sie niedriger als der Förderbetrag, erstattet das Betriebsstätten-FA den „Rotbetrag“ an den
Arbeitgeber (§ 100 Abs. 1 Satz 2 EStG – neu).</t>
    </r>
  </si>
  <si>
    <t>EStG), aber lediglich in Höhe von 3.120 € beitragsfrei (ausgehend von</t>
  </si>
  <si>
    <r>
      <rPr>
        <b/>
        <sz val="16"/>
        <color theme="1"/>
        <rFont val="Calibri"/>
        <family val="2"/>
        <scheme val="minor"/>
      </rPr>
      <t>Lösung:</t>
    </r>
    <r>
      <rPr>
        <sz val="16"/>
        <color theme="1"/>
        <rFont val="Calibri"/>
        <family val="2"/>
        <scheme val="minor"/>
      </rPr>
      <t xml:space="preserve"> Der steuerfreie Höchstbetrag von 6.240 € (ausgehend von</t>
    </r>
  </si>
  <si>
    <t>ergibt (6.240€ abzüglich 1.752 €).</t>
  </si>
  <si>
    <t>von 1.752 €, sodass sich ein steuerfreies Volumen von 4.488 €</t>
  </si>
  <si>
    <r>
      <rPr>
        <b/>
        <sz val="16"/>
        <color theme="1"/>
        <rFont val="Calibri"/>
        <family val="2"/>
        <scheme val="minor"/>
      </rPr>
      <t xml:space="preserve">Lösung: </t>
    </r>
    <r>
      <rPr>
        <sz val="16"/>
        <color theme="1"/>
        <rFont val="Calibri"/>
        <family val="2"/>
        <scheme val="minor"/>
      </rPr>
      <t>Der steuerfreie Höchstbetrag von 6.240 € (ausgehend von</t>
    </r>
  </si>
  <si>
    <t>der Beitragsbemessungsgrenze 2018: 8% von 78.000 € = 6.240 €)</t>
  </si>
  <si>
    <t>daher lediglich i.H.v. 4.488 € steuerfrei und i.H.d. Differenzbetrags von</t>
  </si>
  <si>
    <t>1.512 € steuerpflichtig.</t>
  </si>
  <si>
    <t>der Beitragsbemessungsgrenze 2018: 8% von 78.000 € = 6.240 €) vermindert</t>
  </si>
  <si>
    <t>sich ein steuerfreies Volumen von 4.240 € ergibt (6.240 € abzüglich</t>
  </si>
  <si>
    <t>daher lediglich i.H.v. 4.240€ steuerfrei und in Höhe des Differenzbetrags</t>
  </si>
  <si>
    <t>von 1.760 € steuerpflichtig.</t>
  </si>
  <si>
    <t>er 4.848 € (4% von 76.200 € = 3.048 € zzgl. 1.800 €) in 2017 nicht übersteigt;</t>
  </si>
  <si>
    <t>der Beitragsbemessungsgrenze 2018: 4% von 78.000 € = 3.120 €) und</t>
  </si>
  <si>
    <t>i.H.v. 2.880 € beitragspflichtig.</t>
  </si>
  <si>
    <r>
      <rPr>
        <b/>
        <sz val="16"/>
        <color theme="1"/>
        <rFont val="Calibri"/>
        <family val="2"/>
        <scheme val="minor"/>
      </rPr>
      <t xml:space="preserve">Lösung: </t>
    </r>
    <r>
      <rPr>
        <sz val="16"/>
        <color theme="1"/>
        <rFont val="Calibri"/>
        <family val="2"/>
        <scheme val="minor"/>
      </rPr>
      <t>Die Abfindung kann i.H.v. 31.200 € (4% von 78.000 € = 3.120 € × zehn Kalenderjahre)</t>
    </r>
  </si>
  <si>
    <t>Der übersteigende Betrag von 18.800 € ist steuerpflichtiger Arbeitslohn, der</t>
  </si>
  <si>
    <t>an die Pensionskasse ist in voller Höhe steuerfrei bis zum 10-fachen von 8% der BBG (2018= 62.400)</t>
  </si>
  <si>
    <t>Zugrunde gelegt für die Berechnung des steuerfreien Betrags für die erstmalig vorgesehene Regelung
werden ebenfalls 8% der Beitragsbemessungsgrenze in der gesetzlichen Rentenver¬sicherung – West – je Kalenderjahr, wobei auch hier maximal 10 Kalenderjahre berücksichtigt werden, um die Steuerausfälle zu begrenzen; maßgeblich ist die Beitragsbemessungsgrenze des Jahres der Zahlung. Damit ergibt sich – ausgehend von den Werten für 2017 – ein steuerfreier Nachzahlungsbetrag von höchstens 60.960 € (8% von 76.200 € × zehn Kalenderjahre).</t>
  </si>
  <si>
    <t xml:space="preserve">Nur wirksame SV-Ersparnis </t>
  </si>
  <si>
    <t>Jahres-Zusatzbeitrag</t>
  </si>
  <si>
    <t>AG-Restersparnis</t>
  </si>
  <si>
    <t>AG-Restersparnis p.a.</t>
  </si>
  <si>
    <t>halber-SV-Satz</t>
  </si>
  <si>
    <t>Neuzusage  nach 2004  Jahresbeitrag 2020 eingeben:</t>
  </si>
  <si>
    <t>SV-Beitrag freiwillig %-Satz</t>
  </si>
  <si>
    <t>Betriebs-Renten-Stärkungs-Gesetz neue Rechengrößen für</t>
  </si>
  <si>
    <t>Lst-Abzug 
30%:  72 bis 288</t>
  </si>
  <si>
    <t xml:space="preserve">AN Geringverdiener bis 2.575 mtl.
§ 100 ESTG </t>
  </si>
  <si>
    <t xml:space="preserve">Arbeitegeber zahlt
Förderbeitrag </t>
  </si>
  <si>
    <t>in Höhe von:</t>
  </si>
  <si>
    <t>AN Geringverdiener bis 2.575</t>
  </si>
  <si>
    <t>AG Jahres-Zusatz-Förderbetrag  2021
 240 bis 960</t>
  </si>
  <si>
    <t>Fall-1 AG zahlt BAV  für AN 2022 in Höhe von:</t>
  </si>
  <si>
    <t>Fall-1a AN Entgeltumwandlug 2022 in Höhe von:</t>
  </si>
  <si>
    <t xml:space="preserve"> SV-Weitergabe bei alle Zusagen ab 2022 durch den Arbeitgeber</t>
  </si>
  <si>
    <r>
      <rPr>
        <b/>
        <sz val="10"/>
        <color theme="0"/>
        <rFont val="Calibri"/>
        <family val="2"/>
        <scheme val="minor"/>
      </rPr>
      <t xml:space="preserve"> SV-Weitergabe ab 2019 durch den Arbeitgeber für neue Zusagen ab 2019</t>
    </r>
    <r>
      <rPr>
        <b/>
        <sz val="10"/>
        <color theme="1"/>
        <rFont val="Calibri"/>
        <family val="2"/>
        <scheme val="minor"/>
      </rPr>
      <t xml:space="preserve">
 SV-Weitergabe ab 2022 durch den Arbeitgeber für  alle Zusagen </t>
    </r>
  </si>
  <si>
    <t>Arbeitnehmer- Entgeltumwandlug 2022 in Höhe von:</t>
  </si>
  <si>
    <t>Fall-1 AG zahlt BAV  für AN 2023 in Höhe von:</t>
  </si>
  <si>
    <t>Fall-1a AN Entgeltumwandlug 2023 in Höhe von:</t>
  </si>
  <si>
    <t>AG Jahres-Zusatz-Förderbetrag 2023
 240 bis 960</t>
  </si>
  <si>
    <t>Neuzusage  nach 2004  Jahresbeitrag 2023 und 
AG-Förderbetrag eingeben:</t>
  </si>
  <si>
    <r>
      <t xml:space="preserve">Wie hoch ist der Mindesteigenbeitrag?
Für die volle Riester-Zulage müssen Sie pro Jahr den Mindesteigenbeitrag einzahlen. Dieser beträgt 4 Prozent Ihres rentenversicherungspflichtigen Einkommens aus dem </t>
    </r>
    <r>
      <rPr>
        <b/>
        <sz val="11"/>
        <color theme="1"/>
        <rFont val="Calibri"/>
        <family val="2"/>
        <scheme val="minor"/>
      </rPr>
      <t>Vorjahr.</t>
    </r>
    <r>
      <rPr>
        <sz val="11"/>
        <color theme="1"/>
        <rFont val="Calibri"/>
        <family val="2"/>
        <scheme val="minor"/>
      </rPr>
      <t xml:space="preserve"> Von diesem Betrag werden mögliche Zulagen noch abgezogen. Der Höchstbetrag liegt bei 2.100 Euro.</t>
    </r>
  </si>
  <si>
    <t>Zulagenwerte der Riester baV</t>
  </si>
  <si>
    <t>Lst-Abzug 
30%: 72 bis 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</si>
</sst>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0_ ;\-#,##0.00\ "/>
    <numFmt numFmtId="165" formatCode="0.000%"/>
  </numFmts>
  <fonts count="47" x14ac:knownFonts="1">
    <font>
      <sz val="11"/>
      <color theme="1"/>
      <name val="Calibri"/>
      <family val="2"/>
      <scheme val="minor"/>
    </font>
    <font>
      <sz val="11"/>
      <color theme="1"/>
      <name val="Calibri"/>
      <family val="2"/>
      <scheme val="minor"/>
    </font>
    <font>
      <sz val="14"/>
      <color theme="1"/>
      <name val="Calibri"/>
      <family val="2"/>
      <scheme val="minor"/>
    </font>
    <font>
      <b/>
      <sz val="11"/>
      <color rgb="FFFF0000"/>
      <name val="Calibri"/>
      <family val="2"/>
      <scheme val="minor"/>
    </font>
    <font>
      <sz val="9"/>
      <color indexed="81"/>
      <name val="Segoe UI"/>
      <family val="2"/>
    </font>
    <font>
      <b/>
      <sz val="9"/>
      <color indexed="81"/>
      <name val="Segoe UI"/>
      <family val="2"/>
    </font>
    <font>
      <b/>
      <sz val="11"/>
      <color theme="1"/>
      <name val="Calibri"/>
      <family val="2"/>
      <scheme val="minor"/>
    </font>
    <font>
      <b/>
      <sz val="11"/>
      <color rgb="FF7030A0"/>
      <name val="Calibri"/>
      <family val="2"/>
      <scheme val="minor"/>
    </font>
    <font>
      <sz val="11"/>
      <color theme="0"/>
      <name val="Calibri"/>
      <family val="2"/>
      <scheme val="minor"/>
    </font>
    <font>
      <sz val="8"/>
      <color indexed="81"/>
      <name val="Arial"/>
      <family val="2"/>
    </font>
    <font>
      <b/>
      <sz val="8"/>
      <color indexed="81"/>
      <name val="Segoe UI"/>
      <family val="2"/>
    </font>
    <font>
      <b/>
      <sz val="8"/>
      <color indexed="81"/>
      <name val="Arial"/>
      <family val="2"/>
    </font>
    <font>
      <b/>
      <i/>
      <sz val="11"/>
      <color theme="1"/>
      <name val="Calibri"/>
      <family val="2"/>
      <scheme val="minor"/>
    </font>
    <font>
      <b/>
      <i/>
      <sz val="11"/>
      <name val="Calibri"/>
      <family val="2"/>
      <scheme val="minor"/>
    </font>
    <font>
      <sz val="16"/>
      <color theme="1"/>
      <name val="Calibri"/>
      <family val="2"/>
      <scheme val="minor"/>
    </font>
    <font>
      <b/>
      <sz val="16"/>
      <color theme="1"/>
      <name val="Calibri"/>
      <family val="2"/>
      <scheme val="minor"/>
    </font>
    <font>
      <i/>
      <sz val="14"/>
      <color theme="1"/>
      <name val="Calibri"/>
      <family val="2"/>
      <scheme val="minor"/>
    </font>
    <font>
      <sz val="16"/>
      <name val="Calibri"/>
      <family val="2"/>
      <scheme val="minor"/>
    </font>
    <font>
      <b/>
      <sz val="16"/>
      <name val="Calibri"/>
      <family val="2"/>
      <scheme val="minor"/>
    </font>
    <font>
      <b/>
      <i/>
      <sz val="16"/>
      <color rgb="FFC00000"/>
      <name val="Calibri"/>
      <family val="2"/>
      <scheme val="minor"/>
    </font>
    <font>
      <b/>
      <i/>
      <sz val="14"/>
      <color theme="1"/>
      <name val="Calibri"/>
      <family val="2"/>
      <scheme val="minor"/>
    </font>
    <font>
      <b/>
      <sz val="16"/>
      <color rgb="FF000000"/>
      <name val="Calibri"/>
      <family val="2"/>
      <scheme val="minor"/>
    </font>
    <font>
      <sz val="11"/>
      <color rgb="FF006100"/>
      <name val="Calibri"/>
      <family val="2"/>
      <scheme val="minor"/>
    </font>
    <font>
      <b/>
      <sz val="10"/>
      <color rgb="FF7030A0"/>
      <name val="Calibri"/>
      <family val="2"/>
      <scheme val="minor"/>
    </font>
    <font>
      <b/>
      <sz val="10"/>
      <color theme="1"/>
      <name val="Calibri"/>
      <family val="2"/>
      <scheme val="minor"/>
    </font>
    <font>
      <b/>
      <sz val="10"/>
      <color rgb="FFFF0000"/>
      <name val="Calibri"/>
      <family val="2"/>
      <scheme val="minor"/>
    </font>
    <font>
      <b/>
      <sz val="11"/>
      <color theme="0"/>
      <name val="Calibri"/>
      <family val="2"/>
      <scheme val="minor"/>
    </font>
    <font>
      <b/>
      <sz val="14"/>
      <color theme="1"/>
      <name val="Calibri"/>
      <family val="2"/>
      <scheme val="minor"/>
    </font>
    <font>
      <b/>
      <sz val="11"/>
      <name val="Calibri"/>
      <family val="2"/>
      <scheme val="minor"/>
    </font>
    <font>
      <b/>
      <u/>
      <sz val="11"/>
      <name val="Calibri"/>
      <family val="2"/>
      <scheme val="minor"/>
    </font>
    <font>
      <b/>
      <sz val="10"/>
      <color rgb="FF002060"/>
      <name val="Calibri"/>
      <family val="2"/>
      <scheme val="minor"/>
    </font>
    <font>
      <b/>
      <sz val="14"/>
      <color theme="0"/>
      <name val="Calibri"/>
      <family val="2"/>
      <scheme val="minor"/>
    </font>
    <font>
      <b/>
      <sz val="11"/>
      <color theme="5"/>
      <name val="Calibri"/>
      <family val="2"/>
      <scheme val="minor"/>
    </font>
    <font>
      <b/>
      <i/>
      <sz val="9"/>
      <name val="Calibri"/>
      <family val="2"/>
      <scheme val="minor"/>
    </font>
    <font>
      <b/>
      <sz val="11"/>
      <color rgb="FFFF9900"/>
      <name val="Calibri"/>
      <family val="2"/>
      <scheme val="minor"/>
    </font>
    <font>
      <b/>
      <sz val="10"/>
      <color theme="0"/>
      <name val="Calibri"/>
      <family val="2"/>
      <scheme val="minor"/>
    </font>
    <font>
      <b/>
      <sz val="12"/>
      <color theme="0"/>
      <name val="Calibri"/>
      <family val="2"/>
      <scheme val="minor"/>
    </font>
    <font>
      <b/>
      <sz val="11"/>
      <color rgb="FF0070C0"/>
      <name val="Calibri"/>
      <family val="2"/>
      <scheme val="minor"/>
    </font>
    <font>
      <sz val="11"/>
      <color rgb="FF0070C0"/>
      <name val="Calibri"/>
      <family val="2"/>
      <scheme val="minor"/>
    </font>
    <font>
      <sz val="9"/>
      <color rgb="FF0070C0"/>
      <name val="Calibri"/>
      <family val="2"/>
      <scheme val="minor"/>
    </font>
    <font>
      <b/>
      <sz val="11"/>
      <color rgb="FFDDDDDD"/>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b/>
      <sz val="9"/>
      <color rgb="FFFFFF00"/>
      <name val="Calibri"/>
      <family val="2"/>
      <scheme val="minor"/>
    </font>
    <font>
      <b/>
      <sz val="16"/>
      <color rgb="FFC00000"/>
      <name val="Calibri"/>
      <family val="2"/>
      <scheme val="minor"/>
    </font>
    <font>
      <sz val="16"/>
      <color rgb="FFC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FFFFFF"/>
        <bgColor indexed="64"/>
      </patternFill>
    </fill>
    <fill>
      <patternFill patternType="solid">
        <fgColor rgb="FFD8D8D8"/>
        <bgColor indexed="64"/>
      </patternFill>
    </fill>
    <fill>
      <patternFill patternType="solid">
        <fgColor theme="0" tint="-0.14999847407452621"/>
        <bgColor indexed="64"/>
      </patternFill>
    </fill>
  </fills>
  <borders count="104">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ashed">
        <color indexed="64"/>
      </bottom>
      <diagonal/>
    </border>
    <border>
      <left/>
      <right/>
      <top/>
      <bottom style="dashed">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right style="thin">
        <color indexed="64"/>
      </right>
      <top style="thin">
        <color indexed="64"/>
      </top>
      <bottom style="medium">
        <color indexed="64"/>
      </bottom>
      <diagonal/>
    </border>
    <border>
      <left/>
      <right style="thin">
        <color indexed="64"/>
      </right>
      <top style="thick">
        <color indexed="64"/>
      </top>
      <bottom/>
      <diagonal/>
    </border>
    <border>
      <left style="thick">
        <color indexed="64"/>
      </left>
      <right/>
      <top style="thick">
        <color indexed="64"/>
      </top>
      <bottom style="thick">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bottom/>
      <diagonal/>
    </border>
    <border>
      <left style="thin">
        <color indexed="64"/>
      </left>
      <right style="thick">
        <color indexed="64"/>
      </right>
      <top/>
      <bottom/>
      <diagonal/>
    </border>
    <border>
      <left style="thin">
        <color indexed="64"/>
      </left>
      <right/>
      <top style="thin">
        <color indexed="64"/>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style="dashed">
        <color indexed="64"/>
      </bottom>
      <diagonal/>
    </border>
    <border>
      <left style="thin">
        <color indexed="64"/>
      </left>
      <right style="thick">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medium">
        <color indexed="64"/>
      </top>
      <bottom style="thick">
        <color indexed="64"/>
      </bottom>
      <diagonal/>
    </border>
    <border>
      <left/>
      <right style="thin">
        <color indexed="64"/>
      </right>
      <top style="thick">
        <color indexed="64"/>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style="thin">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bottom style="dashed">
        <color indexed="64"/>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style="medium">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ck">
        <color indexed="64"/>
      </left>
      <right/>
      <top/>
      <bottom style="medium">
        <color indexed="64"/>
      </bottom>
      <diagonal/>
    </border>
    <border>
      <left/>
      <right style="thin">
        <color indexed="64"/>
      </right>
      <top/>
      <bottom style="thin">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dash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8" fillId="4" borderId="0" applyNumberFormat="0" applyBorder="0" applyAlignment="0" applyProtection="0"/>
    <xf numFmtId="0" fontId="22" fillId="5" borderId="0" applyNumberFormat="0" applyBorder="0" applyAlignment="0" applyProtection="0"/>
  </cellStyleXfs>
  <cellXfs count="408">
    <xf numFmtId="0" fontId="0" fillId="0" borderId="0" xfId="0"/>
    <xf numFmtId="0" fontId="2" fillId="0" borderId="0" xfId="0" applyFont="1"/>
    <xf numFmtId="0" fontId="0" fillId="0" borderId="1" xfId="0" applyFont="1" applyBorder="1" applyAlignment="1">
      <alignment horizontal="right"/>
    </xf>
    <xf numFmtId="0" fontId="16" fillId="0" borderId="0" xfId="0" applyFont="1" applyFill="1"/>
    <xf numFmtId="2" fontId="0" fillId="0" borderId="0" xfId="0" applyNumberFormat="1"/>
    <xf numFmtId="0" fontId="27" fillId="0" borderId="0" xfId="0" applyFont="1"/>
    <xf numFmtId="0" fontId="6" fillId="0" borderId="0" xfId="0" applyFont="1" applyAlignment="1">
      <alignment horizontal="center" vertical="center"/>
    </xf>
    <xf numFmtId="164" fontId="28" fillId="2" borderId="4" xfId="1" applyNumberFormat="1" applyFont="1" applyFill="1" applyBorder="1" applyAlignment="1">
      <alignment horizontal="center" vertical="center" wrapText="1"/>
    </xf>
    <xf numFmtId="4" fontId="6" fillId="6" borderId="15" xfId="0" applyNumberFormat="1" applyFont="1" applyFill="1" applyBorder="1" applyAlignment="1">
      <alignment horizontal="center"/>
    </xf>
    <xf numFmtId="4" fontId="6" fillId="6" borderId="16" xfId="0" applyNumberFormat="1" applyFont="1" applyFill="1" applyBorder="1" applyAlignment="1">
      <alignment horizontal="center"/>
    </xf>
    <xf numFmtId="0" fontId="0" fillId="6" borderId="15" xfId="0" applyFont="1" applyFill="1" applyBorder="1" applyAlignment="1">
      <alignment horizontal="center"/>
    </xf>
    <xf numFmtId="164" fontId="6" fillId="6" borderId="15" xfId="0" applyNumberFormat="1" applyFont="1" applyFill="1" applyBorder="1" applyAlignment="1">
      <alignment horizontal="center"/>
    </xf>
    <xf numFmtId="164" fontId="6" fillId="6" borderId="16" xfId="0" applyNumberFormat="1" applyFont="1" applyFill="1" applyBorder="1" applyAlignment="1">
      <alignment horizontal="center"/>
    </xf>
    <xf numFmtId="4" fontId="6" fillId="6" borderId="15" xfId="0" applyNumberFormat="1" applyFont="1" applyFill="1" applyBorder="1" applyAlignment="1">
      <alignment horizontal="center" wrapText="1"/>
    </xf>
    <xf numFmtId="4" fontId="6" fillId="6" borderId="16" xfId="0" applyNumberFormat="1" applyFont="1" applyFill="1" applyBorder="1" applyAlignment="1">
      <alignment horizontal="center" wrapText="1"/>
    </xf>
    <xf numFmtId="0" fontId="6" fillId="0" borderId="18" xfId="0" applyFont="1" applyBorder="1" applyAlignment="1">
      <alignment horizontal="center" vertical="center"/>
    </xf>
    <xf numFmtId="164" fontId="28" fillId="2" borderId="19" xfId="1" applyNumberFormat="1" applyFont="1" applyFill="1" applyBorder="1" applyAlignment="1" applyProtection="1">
      <alignment horizontal="center" vertical="center"/>
      <protection locked="0"/>
    </xf>
    <xf numFmtId="0" fontId="6" fillId="0" borderId="11" xfId="0" applyFont="1" applyBorder="1"/>
    <xf numFmtId="0" fontId="6" fillId="0" borderId="12" xfId="0" applyFont="1" applyBorder="1"/>
    <xf numFmtId="0" fontId="6" fillId="0" borderId="11" xfId="0" applyFont="1" applyBorder="1" applyAlignment="1">
      <alignment wrapText="1"/>
    </xf>
    <xf numFmtId="0" fontId="6" fillId="0" borderId="10" xfId="0" applyFont="1" applyBorder="1" applyAlignment="1">
      <alignment wrapText="1"/>
    </xf>
    <xf numFmtId="10" fontId="6" fillId="2" borderId="17" xfId="2" applyNumberFormat="1" applyFont="1" applyFill="1" applyBorder="1" applyAlignment="1">
      <alignment horizontal="center" vertical="center"/>
    </xf>
    <xf numFmtId="0" fontId="0" fillId="2" borderId="4" xfId="0" applyFont="1" applyFill="1" applyBorder="1" applyAlignment="1">
      <alignment horizontal="center"/>
    </xf>
    <xf numFmtId="4" fontId="6" fillId="0" borderId="8" xfId="0" applyNumberFormat="1" applyFont="1" applyBorder="1" applyAlignment="1">
      <alignment horizontal="center" vertical="center" wrapText="1"/>
    </xf>
    <xf numFmtId="164" fontId="28" fillId="2" borderId="6" xfId="1" applyNumberFormat="1" applyFont="1" applyFill="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9" fontId="6" fillId="2" borderId="28" xfId="0" applyNumberFormat="1" applyFont="1" applyFill="1" applyBorder="1" applyAlignment="1">
      <alignment horizontal="center" vertical="center" wrapText="1"/>
    </xf>
    <xf numFmtId="10" fontId="6" fillId="2" borderId="28" xfId="2" applyNumberFormat="1" applyFont="1" applyFill="1" applyBorder="1" applyAlignment="1">
      <alignment horizontal="center" vertical="center"/>
    </xf>
    <xf numFmtId="10" fontId="6" fillId="2" borderId="3" xfId="2" applyNumberFormat="1" applyFont="1" applyFill="1" applyBorder="1" applyAlignment="1">
      <alignment horizontal="center" vertical="center"/>
    </xf>
    <xf numFmtId="0" fontId="0" fillId="2" borderId="3" xfId="0" applyFont="1" applyFill="1" applyBorder="1" applyAlignment="1">
      <alignment horizontal="center"/>
    </xf>
    <xf numFmtId="0" fontId="6" fillId="0" borderId="1" xfId="0" applyFont="1" applyBorder="1" applyAlignment="1">
      <alignment horizontal="right"/>
    </xf>
    <xf numFmtId="4" fontId="6" fillId="6" borderId="17" xfId="0" applyNumberFormat="1" applyFont="1" applyFill="1" applyBorder="1" applyAlignment="1">
      <alignment horizontal="center"/>
    </xf>
    <xf numFmtId="2" fontId="3" fillId="6" borderId="14" xfId="0" applyNumberFormat="1" applyFont="1" applyFill="1" applyBorder="1" applyAlignment="1">
      <alignment horizontal="center"/>
    </xf>
    <xf numFmtId="4" fontId="6" fillId="0" borderId="31" xfId="0" applyNumberFormat="1" applyFont="1" applyBorder="1" applyAlignment="1">
      <alignment horizontal="right"/>
    </xf>
    <xf numFmtId="2" fontId="3" fillId="6" borderId="30" xfId="0" applyNumberFormat="1" applyFont="1" applyFill="1" applyBorder="1" applyAlignment="1">
      <alignment horizontal="center"/>
    </xf>
    <xf numFmtId="0" fontId="24" fillId="0" borderId="22" xfId="0" applyFont="1" applyFill="1" applyBorder="1" applyAlignment="1">
      <alignment horizontal="center" vertical="center" wrapText="1"/>
    </xf>
    <xf numFmtId="0" fontId="0" fillId="2" borderId="28" xfId="0" applyFont="1" applyFill="1" applyBorder="1" applyAlignment="1">
      <alignment horizontal="center"/>
    </xf>
    <xf numFmtId="0" fontId="24" fillId="0" borderId="36" xfId="0" applyFont="1" applyFill="1" applyBorder="1" applyAlignment="1">
      <alignment horizontal="center" vertical="center" wrapText="1"/>
    </xf>
    <xf numFmtId="0" fontId="0" fillId="2" borderId="37" xfId="0" applyFont="1" applyFill="1" applyBorder="1" applyAlignment="1">
      <alignment horizontal="center"/>
    </xf>
    <xf numFmtId="0" fontId="0" fillId="7" borderId="8" xfId="0" applyFont="1" applyFill="1" applyBorder="1" applyAlignment="1">
      <alignment horizontal="center"/>
    </xf>
    <xf numFmtId="0" fontId="0" fillId="7" borderId="7" xfId="0" applyFont="1" applyFill="1" applyBorder="1" applyAlignment="1">
      <alignment horizontal="center"/>
    </xf>
    <xf numFmtId="0" fontId="0" fillId="7" borderId="0" xfId="0" applyFont="1" applyFill="1" applyAlignment="1">
      <alignment horizontal="center"/>
    </xf>
    <xf numFmtId="0" fontId="0" fillId="7" borderId="20" xfId="0" applyFont="1" applyFill="1" applyBorder="1" applyAlignment="1">
      <alignment horizontal="center"/>
    </xf>
    <xf numFmtId="0" fontId="0" fillId="7" borderId="13" xfId="0" applyFont="1" applyFill="1" applyBorder="1" applyAlignment="1">
      <alignment horizontal="center"/>
    </xf>
    <xf numFmtId="0" fontId="0" fillId="7" borderId="23" xfId="0" applyFont="1" applyFill="1" applyBorder="1" applyAlignment="1">
      <alignment horizontal="center"/>
    </xf>
    <xf numFmtId="0" fontId="0" fillId="7" borderId="24" xfId="0" applyFont="1" applyFill="1" applyBorder="1" applyAlignment="1">
      <alignment horizontal="center"/>
    </xf>
    <xf numFmtId="0" fontId="0" fillId="7" borderId="25" xfId="0" applyFont="1" applyFill="1" applyBorder="1" applyAlignment="1">
      <alignment horizontal="center"/>
    </xf>
    <xf numFmtId="0" fontId="0" fillId="7" borderId="26" xfId="0" applyFont="1" applyFill="1" applyBorder="1" applyAlignment="1">
      <alignment horizontal="center"/>
    </xf>
    <xf numFmtId="0" fontId="0" fillId="7" borderId="22" xfId="0" applyFont="1" applyFill="1" applyBorder="1" applyAlignment="1">
      <alignment horizontal="center"/>
    </xf>
    <xf numFmtId="0" fontId="0" fillId="7" borderId="0" xfId="0" applyFont="1" applyFill="1" applyBorder="1" applyAlignment="1" applyProtection="1">
      <alignment horizontal="center"/>
      <protection locked="0"/>
    </xf>
    <xf numFmtId="0" fontId="0" fillId="7" borderId="0" xfId="0" applyFont="1" applyFill="1" applyBorder="1" applyAlignment="1">
      <alignment horizontal="center"/>
    </xf>
    <xf numFmtId="0" fontId="0" fillId="7" borderId="27" xfId="0" applyFont="1" applyFill="1" applyBorder="1" applyAlignment="1">
      <alignment horizontal="center"/>
    </xf>
    <xf numFmtId="0" fontId="0" fillId="7" borderId="34" xfId="0" applyFont="1" applyFill="1" applyBorder="1" applyAlignment="1">
      <alignment horizontal="center"/>
    </xf>
    <xf numFmtId="0" fontId="0" fillId="7" borderId="4" xfId="0" applyFont="1" applyFill="1" applyBorder="1" applyAlignment="1">
      <alignment horizontal="center"/>
    </xf>
    <xf numFmtId="0" fontId="0" fillId="7" borderId="9" xfId="0" applyFont="1" applyFill="1" applyBorder="1" applyAlignment="1">
      <alignment horizontal="center"/>
    </xf>
    <xf numFmtId="0" fontId="0" fillId="7" borderId="38" xfId="0" applyFont="1" applyFill="1" applyBorder="1" applyAlignment="1">
      <alignment horizontal="center"/>
    </xf>
    <xf numFmtId="0" fontId="0" fillId="7" borderId="39" xfId="0" applyFont="1" applyFill="1" applyBorder="1" applyAlignment="1">
      <alignment horizontal="center"/>
    </xf>
    <xf numFmtId="0" fontId="0" fillId="7" borderId="36" xfId="0" applyFont="1" applyFill="1" applyBorder="1" applyAlignment="1">
      <alignment horizontal="center"/>
    </xf>
    <xf numFmtId="0" fontId="0" fillId="7" borderId="6" xfId="0" applyFont="1" applyFill="1" applyBorder="1" applyAlignment="1">
      <alignment horizontal="center"/>
    </xf>
    <xf numFmtId="0" fontId="0" fillId="7" borderId="40" xfId="0" applyFont="1" applyFill="1" applyBorder="1" applyAlignment="1">
      <alignment horizontal="center"/>
    </xf>
    <xf numFmtId="0" fontId="0" fillId="7" borderId="29" xfId="0" applyFont="1" applyFill="1" applyBorder="1" applyAlignment="1">
      <alignment horizontal="center"/>
    </xf>
    <xf numFmtId="0" fontId="3" fillId="0" borderId="18" xfId="0" applyFont="1" applyBorder="1"/>
    <xf numFmtId="4" fontId="26" fillId="8" borderId="17" xfId="0" applyNumberFormat="1" applyFont="1" applyFill="1" applyBorder="1" applyAlignment="1" applyProtection="1">
      <alignment horizontal="center" vertical="center"/>
      <protection locked="0"/>
    </xf>
    <xf numFmtId="10" fontId="26" fillId="8" borderId="17" xfId="0" applyNumberFormat="1" applyFont="1" applyFill="1" applyBorder="1" applyAlignment="1" applyProtection="1">
      <alignment horizontal="center" vertical="center"/>
      <protection locked="0"/>
    </xf>
    <xf numFmtId="4" fontId="31" fillId="8" borderId="14" xfId="0" applyNumberFormat="1" applyFont="1" applyFill="1" applyBorder="1" applyAlignment="1" applyProtection="1">
      <alignment horizontal="center" vertical="center"/>
      <protection locked="0"/>
    </xf>
    <xf numFmtId="4" fontId="26" fillId="8" borderId="17" xfId="0" applyNumberFormat="1" applyFont="1" applyFill="1" applyBorder="1" applyAlignment="1" applyProtection="1">
      <alignment horizontal="right"/>
      <protection locked="0"/>
    </xf>
    <xf numFmtId="4" fontId="26" fillId="8" borderId="30" xfId="0" applyNumberFormat="1" applyFont="1" applyFill="1" applyBorder="1" applyAlignment="1" applyProtection="1">
      <alignment horizontal="center"/>
      <protection locked="0"/>
    </xf>
    <xf numFmtId="0" fontId="26" fillId="8" borderId="14" xfId="0" applyFont="1" applyFill="1" applyBorder="1" applyAlignment="1" applyProtection="1">
      <alignment horizontal="center"/>
      <protection locked="0"/>
    </xf>
    <xf numFmtId="10" fontId="6" fillId="2" borderId="3" xfId="0" applyNumberFormat="1" applyFont="1" applyFill="1" applyBorder="1" applyAlignment="1">
      <alignment horizontal="center" vertical="center"/>
    </xf>
    <xf numFmtId="4" fontId="26" fillId="8" borderId="14" xfId="0" applyNumberFormat="1" applyFont="1" applyFill="1" applyBorder="1" applyAlignment="1" applyProtection="1">
      <alignment horizontal="right"/>
      <protection locked="0"/>
    </xf>
    <xf numFmtId="0" fontId="26" fillId="8" borderId="41" xfId="0" applyFont="1" applyFill="1" applyBorder="1" applyAlignment="1" applyProtection="1">
      <alignment horizontal="center"/>
      <protection locked="0"/>
    </xf>
    <xf numFmtId="0" fontId="0" fillId="7" borderId="31" xfId="0" applyFont="1" applyFill="1" applyBorder="1" applyAlignment="1">
      <alignment horizontal="center"/>
    </xf>
    <xf numFmtId="0" fontId="0" fillId="7" borderId="42" xfId="0" applyFont="1" applyFill="1" applyBorder="1" applyAlignment="1">
      <alignment horizontal="center"/>
    </xf>
    <xf numFmtId="0" fontId="6" fillId="6" borderId="17" xfId="0" applyFont="1" applyFill="1" applyBorder="1" applyAlignment="1">
      <alignment horizontal="center"/>
    </xf>
    <xf numFmtId="4" fontId="6" fillId="0" borderId="14" xfId="0" applyNumberFormat="1" applyFont="1" applyBorder="1" applyAlignment="1">
      <alignment horizontal="center"/>
    </xf>
    <xf numFmtId="4" fontId="0" fillId="7" borderId="7" xfId="0" applyNumberFormat="1" applyFont="1" applyFill="1" applyBorder="1" applyAlignment="1">
      <alignment horizontal="center"/>
    </xf>
    <xf numFmtId="4" fontId="0" fillId="7" borderId="26" xfId="0" applyNumberFormat="1" applyFont="1" applyFill="1" applyBorder="1" applyAlignment="1">
      <alignment horizontal="center"/>
    </xf>
    <xf numFmtId="4" fontId="6" fillId="0" borderId="14" xfId="0" applyNumberFormat="1" applyFont="1" applyBorder="1" applyAlignment="1">
      <alignment horizontal="right"/>
    </xf>
    <xf numFmtId="4" fontId="26" fillId="8" borderId="14" xfId="0" applyNumberFormat="1" applyFont="1" applyFill="1" applyBorder="1" applyAlignment="1" applyProtection="1">
      <alignment horizontal="center"/>
      <protection locked="0"/>
    </xf>
    <xf numFmtId="4" fontId="26" fillId="8" borderId="14" xfId="0" applyNumberFormat="1" applyFont="1" applyFill="1" applyBorder="1" applyProtection="1">
      <protection locked="0"/>
    </xf>
    <xf numFmtId="2" fontId="3" fillId="0" borderId="14" xfId="0" applyNumberFormat="1" applyFont="1" applyBorder="1" applyAlignment="1">
      <alignment horizontal="center"/>
    </xf>
    <xf numFmtId="0" fontId="0" fillId="7" borderId="43" xfId="0" applyFont="1" applyFill="1" applyBorder="1" applyAlignment="1">
      <alignment horizontal="center"/>
    </xf>
    <xf numFmtId="0" fontId="0" fillId="7" borderId="45" xfId="0" applyFont="1" applyFill="1" applyBorder="1" applyAlignment="1">
      <alignment horizontal="center"/>
    </xf>
    <xf numFmtId="4" fontId="6" fillId="0" borderId="1" xfId="0" applyNumberFormat="1" applyFont="1" applyBorder="1" applyAlignment="1">
      <alignment horizontal="right" wrapText="1"/>
    </xf>
    <xf numFmtId="43" fontId="6" fillId="0" borderId="31" xfId="1" applyFont="1" applyBorder="1" applyAlignment="1">
      <alignment horizontal="left" vertical="center" wrapText="1"/>
    </xf>
    <xf numFmtId="0" fontId="7" fillId="0" borderId="1" xfId="0" applyFont="1" applyBorder="1"/>
    <xf numFmtId="4" fontId="6" fillId="0" borderId="30" xfId="0" applyNumberFormat="1" applyFont="1" applyBorder="1" applyAlignment="1">
      <alignment horizontal="center"/>
    </xf>
    <xf numFmtId="4" fontId="6" fillId="6" borderId="16" xfId="0" applyNumberFormat="1" applyFont="1" applyFill="1" applyBorder="1"/>
    <xf numFmtId="0" fontId="0" fillId="7" borderId="44" xfId="0" applyFont="1" applyFill="1" applyBorder="1" applyAlignment="1">
      <alignment horizontal="center"/>
    </xf>
    <xf numFmtId="0" fontId="0" fillId="7" borderId="47" xfId="0" applyFont="1" applyFill="1" applyBorder="1" applyAlignment="1">
      <alignment horizontal="center"/>
    </xf>
    <xf numFmtId="0" fontId="26" fillId="8" borderId="14" xfId="5" applyFont="1" applyFill="1" applyBorder="1" applyAlignment="1" applyProtection="1">
      <alignment horizontal="center" vertical="center"/>
      <protection locked="0"/>
    </xf>
    <xf numFmtId="0" fontId="8" fillId="8" borderId="14" xfId="5" applyFont="1" applyFill="1" applyBorder="1" applyAlignment="1" applyProtection="1">
      <alignment horizontal="center" vertical="center"/>
      <protection locked="0"/>
    </xf>
    <xf numFmtId="2" fontId="26" fillId="8" borderId="14" xfId="5" applyNumberFormat="1" applyFont="1" applyFill="1" applyBorder="1" applyAlignment="1" applyProtection="1">
      <alignment horizontal="center" vertical="center"/>
      <protection locked="0"/>
    </xf>
    <xf numFmtId="0" fontId="6" fillId="0" borderId="14" xfId="0" applyFont="1" applyBorder="1" applyAlignment="1">
      <alignment horizontal="center" vertical="center"/>
    </xf>
    <xf numFmtId="2" fontId="6" fillId="0" borderId="14" xfId="0" applyNumberFormat="1" applyFont="1" applyBorder="1" applyAlignment="1">
      <alignment horizontal="center" vertical="center"/>
    </xf>
    <xf numFmtId="0" fontId="0" fillId="7" borderId="48" xfId="0" applyFont="1" applyFill="1" applyBorder="1" applyAlignment="1">
      <alignment horizontal="center"/>
    </xf>
    <xf numFmtId="0" fontId="0" fillId="7" borderId="35" xfId="0" applyFont="1" applyFill="1" applyBorder="1" applyAlignment="1">
      <alignment horizontal="center"/>
    </xf>
    <xf numFmtId="4" fontId="6" fillId="0" borderId="14" xfId="0" applyNumberFormat="1" applyFont="1" applyBorder="1" applyAlignment="1">
      <alignment horizontal="center" vertical="center"/>
    </xf>
    <xf numFmtId="4" fontId="28" fillId="0" borderId="14" xfId="0" applyNumberFormat="1" applyFont="1" applyBorder="1" applyAlignment="1">
      <alignment horizontal="center" vertical="center"/>
    </xf>
    <xf numFmtId="4" fontId="33" fillId="0" borderId="30" xfId="0" applyNumberFormat="1" applyFont="1" applyBorder="1" applyAlignment="1">
      <alignment horizontal="center" vertical="center" wrapText="1"/>
    </xf>
    <xf numFmtId="4" fontId="34" fillId="0" borderId="30" xfId="0" applyNumberFormat="1" applyFont="1" applyBorder="1" applyAlignment="1">
      <alignment horizontal="center" vertical="center"/>
    </xf>
    <xf numFmtId="10" fontId="28" fillId="6" borderId="14" xfId="2" applyNumberFormat="1" applyFont="1" applyFill="1" applyBorder="1" applyAlignment="1" applyProtection="1">
      <alignment horizontal="center"/>
      <protection locked="0"/>
    </xf>
    <xf numFmtId="0" fontId="28" fillId="0" borderId="14" xfId="5" applyFont="1" applyFill="1" applyBorder="1" applyAlignment="1" applyProtection="1">
      <alignment horizontal="center" vertical="center" wrapText="1"/>
    </xf>
    <xf numFmtId="0" fontId="28" fillId="0" borderId="14" xfId="5" applyFont="1" applyFill="1" applyBorder="1" applyAlignment="1">
      <alignment horizontal="center" vertical="center" wrapText="1"/>
    </xf>
    <xf numFmtId="43" fontId="28" fillId="0" borderId="14" xfId="5" applyNumberFormat="1" applyFont="1" applyFill="1" applyBorder="1" applyProtection="1"/>
    <xf numFmtId="43" fontId="28" fillId="0" borderId="14" xfId="5" applyNumberFormat="1" applyFont="1" applyFill="1" applyBorder="1"/>
    <xf numFmtId="0" fontId="28" fillId="0" borderId="14" xfId="5" applyFont="1" applyFill="1" applyBorder="1" applyAlignment="1" applyProtection="1">
      <alignment horizontal="center"/>
    </xf>
    <xf numFmtId="0" fontId="28" fillId="0" borderId="14" xfId="5" applyFont="1" applyFill="1" applyBorder="1" applyAlignment="1">
      <alignment horizontal="center"/>
    </xf>
    <xf numFmtId="2" fontId="28" fillId="0" borderId="14" xfId="5" applyNumberFormat="1" applyFont="1" applyFill="1" applyBorder="1" applyAlignment="1" applyProtection="1">
      <alignment horizontal="center" vertical="center"/>
    </xf>
    <xf numFmtId="2" fontId="28" fillId="0" borderId="14" xfId="5" applyNumberFormat="1" applyFont="1" applyFill="1" applyBorder="1" applyAlignment="1">
      <alignment horizontal="center" vertical="center"/>
    </xf>
    <xf numFmtId="0" fontId="0" fillId="7" borderId="32" xfId="0" applyFont="1" applyFill="1" applyBorder="1" applyAlignment="1">
      <alignment horizontal="center"/>
    </xf>
    <xf numFmtId="4" fontId="6" fillId="0" borderId="2" xfId="0" applyNumberFormat="1" applyFont="1" applyBorder="1" applyAlignment="1">
      <alignment horizontal="right" wrapText="1"/>
    </xf>
    <xf numFmtId="0" fontId="0" fillId="7" borderId="49" xfId="0" applyFont="1" applyFill="1" applyBorder="1" applyAlignment="1">
      <alignment horizontal="center"/>
    </xf>
    <xf numFmtId="0" fontId="0" fillId="7" borderId="50" xfId="0" applyFont="1" applyFill="1" applyBorder="1" applyAlignment="1">
      <alignment horizontal="center"/>
    </xf>
    <xf numFmtId="0" fontId="0" fillId="7" borderId="51" xfId="0" applyFont="1" applyFill="1" applyBorder="1" applyAlignment="1">
      <alignment horizontal="center"/>
    </xf>
    <xf numFmtId="0" fontId="0" fillId="7" borderId="26" xfId="0" applyFont="1" applyFill="1" applyBorder="1"/>
    <xf numFmtId="2" fontId="6" fillId="6" borderId="14" xfId="0" applyNumberFormat="1" applyFont="1" applyFill="1" applyBorder="1" applyAlignment="1">
      <alignment horizontal="center"/>
    </xf>
    <xf numFmtId="2" fontId="6" fillId="6" borderId="14" xfId="0" applyNumberFormat="1" applyFont="1" applyFill="1" applyBorder="1"/>
    <xf numFmtId="4" fontId="0" fillId="7" borderId="34" xfId="0" applyNumberFormat="1" applyFont="1" applyFill="1" applyBorder="1"/>
    <xf numFmtId="14" fontId="26" fillId="8" borderId="14" xfId="0" applyNumberFormat="1" applyFont="1" applyFill="1" applyBorder="1" applyProtection="1">
      <protection locked="0"/>
    </xf>
    <xf numFmtId="0" fontId="0" fillId="7" borderId="53" xfId="0" applyFont="1" applyFill="1" applyBorder="1" applyAlignment="1">
      <alignment horizontal="center"/>
    </xf>
    <xf numFmtId="0" fontId="0" fillId="7" borderId="33" xfId="0" applyFont="1" applyFill="1" applyBorder="1" applyAlignment="1">
      <alignment horizontal="center"/>
    </xf>
    <xf numFmtId="164" fontId="6" fillId="0" borderId="14" xfId="1" applyNumberFormat="1" applyFont="1" applyBorder="1"/>
    <xf numFmtId="164" fontId="6" fillId="0" borderId="14" xfId="1" applyNumberFormat="1" applyFont="1" applyBorder="1" applyAlignment="1">
      <alignment horizontal="center" vertical="center"/>
    </xf>
    <xf numFmtId="0" fontId="0" fillId="7" borderId="26" xfId="0" applyFill="1" applyBorder="1"/>
    <xf numFmtId="0" fontId="0" fillId="7" borderId="52" xfId="0" applyFont="1" applyFill="1" applyBorder="1" applyAlignment="1">
      <alignment horizontal="center"/>
    </xf>
    <xf numFmtId="4" fontId="0" fillId="7" borderId="9" xfId="0" applyNumberFormat="1" applyFont="1" applyFill="1" applyBorder="1"/>
    <xf numFmtId="2" fontId="28" fillId="6" borderId="14" xfId="0" applyNumberFormat="1" applyFont="1" applyFill="1" applyBorder="1"/>
    <xf numFmtId="0" fontId="28" fillId="6" borderId="14" xfId="0" applyFont="1" applyFill="1" applyBorder="1"/>
    <xf numFmtId="0" fontId="0" fillId="7" borderId="7" xfId="0" applyFont="1" applyFill="1" applyBorder="1" applyAlignment="1">
      <alignment horizontal="center" vertical="center"/>
    </xf>
    <xf numFmtId="0" fontId="0" fillId="7" borderId="8" xfId="0" applyFont="1" applyFill="1" applyBorder="1" applyAlignment="1">
      <alignment horizontal="center" vertical="center"/>
    </xf>
    <xf numFmtId="0" fontId="0" fillId="7" borderId="22" xfId="0" applyFont="1" applyFill="1" applyBorder="1" applyAlignment="1">
      <alignment horizontal="center" vertical="center"/>
    </xf>
    <xf numFmtId="0" fontId="0" fillId="7" borderId="26" xfId="0" applyFont="1" applyFill="1" applyBorder="1" applyAlignment="1">
      <alignment horizontal="center" vertical="center"/>
    </xf>
    <xf numFmtId="0" fontId="0" fillId="7" borderId="54" xfId="0" applyFont="1" applyFill="1" applyBorder="1" applyAlignment="1">
      <alignment horizontal="center"/>
    </xf>
    <xf numFmtId="0" fontId="0" fillId="7" borderId="55" xfId="0" applyFont="1" applyFill="1" applyBorder="1" applyAlignment="1">
      <alignment horizontal="center"/>
    </xf>
    <xf numFmtId="0" fontId="0" fillId="7" borderId="46" xfId="0" applyFont="1" applyFill="1" applyBorder="1" applyAlignment="1">
      <alignment horizontal="center"/>
    </xf>
    <xf numFmtId="4" fontId="26" fillId="8" borderId="14" xfId="0" applyNumberFormat="1" applyFont="1" applyFill="1" applyBorder="1" applyAlignment="1" applyProtection="1">
      <alignment vertical="center"/>
      <protection locked="0"/>
    </xf>
    <xf numFmtId="0" fontId="28" fillId="4" borderId="1" xfId="4" applyFont="1" applyBorder="1"/>
    <xf numFmtId="43" fontId="13" fillId="4" borderId="5" xfId="4" applyNumberFormat="1" applyFont="1" applyBorder="1" applyAlignment="1">
      <alignment horizontal="left" vertical="center" wrapText="1"/>
    </xf>
    <xf numFmtId="0" fontId="6" fillId="3" borderId="1" xfId="3" applyFont="1" applyBorder="1"/>
    <xf numFmtId="0" fontId="28" fillId="6" borderId="56" xfId="0" applyFont="1" applyFill="1" applyBorder="1"/>
    <xf numFmtId="0" fontId="6" fillId="3" borderId="57" xfId="3" applyFont="1" applyBorder="1" applyAlignment="1">
      <alignment wrapText="1"/>
    </xf>
    <xf numFmtId="0" fontId="6" fillId="6" borderId="14" xfId="3" applyFont="1" applyFill="1" applyBorder="1"/>
    <xf numFmtId="0" fontId="28" fillId="6" borderId="14" xfId="4" applyFont="1" applyFill="1" applyBorder="1"/>
    <xf numFmtId="0" fontId="6" fillId="0" borderId="59" xfId="0" applyFont="1" applyBorder="1" applyAlignment="1">
      <alignment horizontal="center" vertical="center" wrapText="1"/>
    </xf>
    <xf numFmtId="0" fontId="3" fillId="0" borderId="60" xfId="0" applyFont="1" applyBorder="1"/>
    <xf numFmtId="0" fontId="6" fillId="0" borderId="61" xfId="0" applyFont="1" applyBorder="1" applyAlignment="1">
      <alignment horizontal="center" vertical="center" wrapText="1"/>
    </xf>
    <xf numFmtId="10" fontId="6" fillId="2" borderId="62" xfId="2" applyNumberFormat="1" applyFont="1" applyFill="1" applyBorder="1" applyAlignment="1">
      <alignment horizontal="center" vertical="center"/>
    </xf>
    <xf numFmtId="0" fontId="6" fillId="0" borderId="60" xfId="0" applyFont="1" applyBorder="1"/>
    <xf numFmtId="0" fontId="0" fillId="6" borderId="63" xfId="0" applyFont="1" applyFill="1" applyBorder="1" applyAlignment="1">
      <alignment horizontal="center"/>
    </xf>
    <xf numFmtId="0" fontId="6" fillId="0" borderId="64" xfId="0" applyFont="1" applyBorder="1"/>
    <xf numFmtId="0" fontId="6" fillId="0" borderId="60" xfId="0" applyFont="1" applyBorder="1" applyAlignment="1">
      <alignment wrapText="1"/>
    </xf>
    <xf numFmtId="4" fontId="6" fillId="6" borderId="63" xfId="0" applyNumberFormat="1" applyFont="1" applyFill="1" applyBorder="1" applyAlignment="1">
      <alignment horizontal="center" wrapText="1"/>
    </xf>
    <xf numFmtId="0" fontId="6" fillId="0" borderId="19" xfId="0" applyFont="1" applyBorder="1" applyAlignment="1">
      <alignment wrapText="1"/>
    </xf>
    <xf numFmtId="4" fontId="6" fillId="6" borderId="65" xfId="0" applyNumberFormat="1" applyFont="1" applyFill="1" applyBorder="1" applyAlignment="1">
      <alignment horizontal="center" wrapText="1"/>
    </xf>
    <xf numFmtId="2" fontId="8" fillId="0" borderId="0" xfId="0" applyNumberFormat="1" applyFont="1"/>
    <xf numFmtId="0" fontId="27" fillId="0" borderId="18" xfId="0" applyFont="1" applyBorder="1" applyAlignment="1">
      <alignment horizontal="center" vertical="center"/>
    </xf>
    <xf numFmtId="4" fontId="6" fillId="0" borderId="8" xfId="0" applyNumberFormat="1" applyFont="1" applyBorder="1" applyAlignment="1" applyProtection="1">
      <alignment horizontal="center" vertical="center" wrapText="1"/>
    </xf>
    <xf numFmtId="0" fontId="37" fillId="7" borderId="26" xfId="0" applyFont="1" applyFill="1" applyBorder="1" applyAlignment="1">
      <alignment horizontal="left" vertical="center"/>
    </xf>
    <xf numFmtId="0" fontId="37" fillId="7" borderId="26" xfId="0" applyFont="1" applyFill="1" applyBorder="1" applyAlignment="1">
      <alignment horizontal="center" vertical="center"/>
    </xf>
    <xf numFmtId="0" fontId="38" fillId="7" borderId="7" xfId="0" applyFont="1" applyFill="1" applyBorder="1" applyAlignment="1">
      <alignment horizontal="center"/>
    </xf>
    <xf numFmtId="0" fontId="39" fillId="7" borderId="31" xfId="0" applyFont="1" applyFill="1" applyBorder="1" applyAlignment="1">
      <alignment horizontal="center"/>
    </xf>
    <xf numFmtId="0" fontId="0" fillId="9" borderId="0" xfId="0" applyFill="1"/>
    <xf numFmtId="4" fontId="6" fillId="6" borderId="41" xfId="0" applyNumberFormat="1" applyFont="1" applyFill="1" applyBorder="1" applyAlignment="1">
      <alignment horizontal="center"/>
    </xf>
    <xf numFmtId="4" fontId="6" fillId="6" borderId="66" xfId="0" applyNumberFormat="1" applyFont="1" applyFill="1" applyBorder="1" applyAlignment="1">
      <alignment horizontal="center"/>
    </xf>
    <xf numFmtId="0" fontId="6" fillId="10" borderId="67" xfId="0" applyFont="1" applyFill="1" applyBorder="1" applyAlignment="1">
      <alignment horizontal="center"/>
    </xf>
    <xf numFmtId="0" fontId="0" fillId="10" borderId="11" xfId="0" applyFont="1" applyFill="1" applyBorder="1" applyAlignment="1">
      <alignment horizontal="center"/>
    </xf>
    <xf numFmtId="4" fontId="40" fillId="10" borderId="68" xfId="0" applyNumberFormat="1" applyFont="1" applyFill="1" applyBorder="1" applyAlignment="1">
      <alignment horizontal="center"/>
    </xf>
    <xf numFmtId="4" fontId="0" fillId="7" borderId="11" xfId="0" applyNumberFormat="1" applyFont="1" applyFill="1" applyBorder="1" applyAlignment="1">
      <alignment horizontal="center"/>
    </xf>
    <xf numFmtId="4" fontId="40" fillId="10" borderId="10" xfId="0" applyNumberFormat="1" applyFont="1" applyFill="1" applyBorder="1" applyAlignment="1">
      <alignment horizontal="center"/>
    </xf>
    <xf numFmtId="0" fontId="6" fillId="10" borderId="18" xfId="0" applyFont="1" applyFill="1" applyBorder="1" applyAlignment="1">
      <alignment horizontal="center"/>
    </xf>
    <xf numFmtId="0" fontId="0" fillId="10" borderId="60" xfId="0" applyFont="1" applyFill="1" applyBorder="1" applyAlignment="1">
      <alignment horizontal="center"/>
    </xf>
    <xf numFmtId="4" fontId="40" fillId="10" borderId="69" xfId="0" applyNumberFormat="1" applyFont="1" applyFill="1" applyBorder="1" applyAlignment="1">
      <alignment horizontal="center"/>
    </xf>
    <xf numFmtId="4" fontId="0" fillId="10" borderId="60" xfId="0" applyNumberFormat="1" applyFont="1" applyFill="1" applyBorder="1" applyAlignment="1">
      <alignment horizontal="center"/>
    </xf>
    <xf numFmtId="4" fontId="0" fillId="7" borderId="60" xfId="0" applyNumberFormat="1" applyFont="1" applyFill="1" applyBorder="1" applyAlignment="1">
      <alignment horizontal="center"/>
    </xf>
    <xf numFmtId="4" fontId="40" fillId="10" borderId="19" xfId="0" applyNumberFormat="1" applyFont="1" applyFill="1" applyBorder="1" applyAlignment="1">
      <alignment horizontal="center"/>
    </xf>
    <xf numFmtId="4" fontId="36" fillId="8" borderId="30" xfId="0" applyNumberFormat="1" applyFont="1" applyFill="1" applyBorder="1" applyAlignment="1" applyProtection="1">
      <alignment horizontal="center" vertical="center" wrapText="1"/>
    </xf>
    <xf numFmtId="4" fontId="26" fillId="8" borderId="30" xfId="0" applyNumberFormat="1" applyFont="1" applyFill="1" applyBorder="1" applyAlignment="1" applyProtection="1">
      <alignment horizontal="center" vertical="center" wrapText="1"/>
    </xf>
    <xf numFmtId="0" fontId="26" fillId="8" borderId="41" xfId="0" applyFont="1" applyFill="1" applyBorder="1" applyAlignment="1" applyProtection="1">
      <alignment horizontal="center"/>
    </xf>
    <xf numFmtId="0" fontId="8" fillId="0" borderId="0" xfId="0" applyFont="1" applyProtection="1"/>
    <xf numFmtId="164" fontId="28" fillId="2" borderId="58" xfId="1" applyNumberFormat="1" applyFont="1" applyFill="1" applyBorder="1" applyAlignment="1" applyProtection="1">
      <alignment horizontal="center" vertical="center"/>
    </xf>
    <xf numFmtId="164" fontId="28" fillId="2" borderId="70" xfId="1" applyNumberFormat="1" applyFont="1" applyFill="1" applyBorder="1" applyAlignment="1">
      <alignment horizontal="center" vertical="center"/>
    </xf>
    <xf numFmtId="164" fontId="28" fillId="2" borderId="71" xfId="1" applyNumberFormat="1" applyFont="1" applyFill="1" applyBorder="1" applyAlignment="1">
      <alignment horizontal="center" vertical="center" wrapText="1"/>
    </xf>
    <xf numFmtId="10" fontId="6" fillId="2" borderId="72" xfId="2" applyNumberFormat="1" applyFont="1" applyFill="1" applyBorder="1" applyAlignment="1">
      <alignment horizontal="center" vertical="center"/>
    </xf>
    <xf numFmtId="9" fontId="6" fillId="2" borderId="70" xfId="0" applyNumberFormat="1" applyFont="1" applyFill="1" applyBorder="1" applyAlignment="1">
      <alignment horizontal="center" vertical="center" wrapText="1"/>
    </xf>
    <xf numFmtId="10" fontId="6" fillId="2" borderId="74" xfId="2" applyNumberFormat="1" applyFont="1" applyFill="1" applyBorder="1" applyAlignment="1">
      <alignment horizontal="center" vertical="center"/>
    </xf>
    <xf numFmtId="10" fontId="6" fillId="2" borderId="70" xfId="2" applyNumberFormat="1" applyFont="1" applyFill="1" applyBorder="1" applyAlignment="1">
      <alignment horizontal="center" vertical="center"/>
    </xf>
    <xf numFmtId="10" fontId="6" fillId="2" borderId="75" xfId="2" applyNumberFormat="1" applyFont="1" applyFill="1" applyBorder="1" applyAlignment="1">
      <alignment horizontal="center" vertical="center"/>
    </xf>
    <xf numFmtId="4" fontId="6" fillId="0" borderId="22" xfId="0" applyNumberFormat="1" applyFont="1" applyBorder="1" applyAlignment="1">
      <alignment horizontal="center" vertical="center" wrapText="1"/>
    </xf>
    <xf numFmtId="0" fontId="0" fillId="11" borderId="26" xfId="0" applyFont="1" applyFill="1" applyBorder="1" applyAlignment="1">
      <alignment horizontal="center"/>
    </xf>
    <xf numFmtId="0" fontId="28" fillId="6" borderId="14" xfId="4" applyFont="1" applyFill="1" applyBorder="1" applyAlignment="1">
      <alignment vertical="center"/>
    </xf>
    <xf numFmtId="0" fontId="0" fillId="7" borderId="6" xfId="0" applyFont="1" applyFill="1" applyBorder="1" applyAlignment="1">
      <alignment horizontal="center" vertical="center"/>
    </xf>
    <xf numFmtId="0" fontId="0" fillId="7" borderId="9" xfId="0" applyFont="1" applyFill="1" applyBorder="1" applyAlignment="1">
      <alignment horizontal="center" vertical="center"/>
    </xf>
    <xf numFmtId="0" fontId="0" fillId="7" borderId="40" xfId="0" applyFont="1" applyFill="1" applyBorder="1" applyAlignment="1">
      <alignment horizontal="center" vertical="center"/>
    </xf>
    <xf numFmtId="0" fontId="0" fillId="11" borderId="76" xfId="0" applyFont="1" applyFill="1" applyBorder="1" applyAlignment="1">
      <alignment horizontal="center" vertical="center"/>
    </xf>
    <xf numFmtId="164" fontId="6" fillId="0" borderId="77" xfId="1" applyNumberFormat="1" applyFont="1" applyBorder="1" applyAlignment="1">
      <alignment vertical="center"/>
    </xf>
    <xf numFmtId="4" fontId="6" fillId="0" borderId="77" xfId="0" applyNumberFormat="1" applyFont="1" applyBorder="1" applyAlignment="1">
      <alignment horizontal="center" vertical="center"/>
    </xf>
    <xf numFmtId="4" fontId="6" fillId="0" borderId="78" xfId="0" applyNumberFormat="1" applyFont="1" applyBorder="1" applyAlignment="1">
      <alignment horizontal="center" vertical="center" wrapText="1"/>
    </xf>
    <xf numFmtId="4" fontId="8" fillId="0" borderId="0" xfId="0" applyNumberFormat="1" applyFont="1" applyProtection="1"/>
    <xf numFmtId="4" fontId="8" fillId="9" borderId="0" xfId="0" applyNumberFormat="1" applyFont="1" applyFill="1" applyProtection="1"/>
    <xf numFmtId="0" fontId="28" fillId="6" borderId="56" xfId="0" applyFont="1" applyFill="1" applyBorder="1" applyAlignment="1">
      <alignment horizontal="center" vertical="center"/>
    </xf>
    <xf numFmtId="2" fontId="28" fillId="6" borderId="14" xfId="0" applyNumberFormat="1" applyFont="1" applyFill="1" applyBorder="1" applyAlignment="1">
      <alignment horizontal="center" vertical="center"/>
    </xf>
    <xf numFmtId="0" fontId="28" fillId="6" borderId="14" xfId="0" applyFont="1" applyFill="1" applyBorder="1" applyAlignment="1">
      <alignment horizontal="center" vertical="center"/>
    </xf>
    <xf numFmtId="0" fontId="8" fillId="0" borderId="0" xfId="0" applyFont="1"/>
    <xf numFmtId="164" fontId="28" fillId="2" borderId="19" xfId="1" applyNumberFormat="1" applyFont="1" applyFill="1" applyBorder="1" applyAlignment="1" applyProtection="1">
      <alignment horizontal="center" vertical="center"/>
    </xf>
    <xf numFmtId="4" fontId="26" fillId="8" borderId="14" xfId="0" applyNumberFormat="1" applyFont="1" applyFill="1" applyBorder="1" applyAlignment="1" applyProtection="1">
      <alignment horizontal="right"/>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164" fontId="28" fillId="2" borderId="6" xfId="1" applyNumberFormat="1" applyFont="1" applyFill="1" applyBorder="1" applyAlignment="1" applyProtection="1">
      <alignment horizontal="center" vertical="center"/>
    </xf>
    <xf numFmtId="164" fontId="28" fillId="2" borderId="4" xfId="1" applyNumberFormat="1" applyFont="1" applyFill="1" applyBorder="1" applyAlignment="1" applyProtection="1">
      <alignment horizontal="center" vertical="center" wrapText="1"/>
    </xf>
    <xf numFmtId="10" fontId="6" fillId="2" borderId="17" xfId="2" applyNumberFormat="1" applyFont="1" applyFill="1" applyBorder="1" applyAlignment="1" applyProtection="1">
      <alignment horizontal="center" vertical="center"/>
    </xf>
    <xf numFmtId="9" fontId="6" fillId="2" borderId="28" xfId="0" applyNumberFormat="1" applyFont="1" applyFill="1" applyBorder="1" applyAlignment="1" applyProtection="1">
      <alignment horizontal="center" vertical="center" wrapText="1"/>
    </xf>
    <xf numFmtId="0" fontId="0" fillId="2" borderId="4" xfId="0" applyFont="1" applyFill="1" applyBorder="1" applyAlignment="1" applyProtection="1">
      <alignment horizontal="center"/>
    </xf>
    <xf numFmtId="10" fontId="6" fillId="2" borderId="28" xfId="2" applyNumberFormat="1" applyFont="1" applyFill="1" applyBorder="1" applyAlignment="1" applyProtection="1">
      <alignment horizontal="center" vertical="center"/>
    </xf>
    <xf numFmtId="10" fontId="6" fillId="2" borderId="3" xfId="2" applyNumberFormat="1" applyFont="1" applyFill="1" applyBorder="1" applyAlignment="1" applyProtection="1">
      <alignment horizontal="center" vertical="center"/>
    </xf>
    <xf numFmtId="0" fontId="0" fillId="2" borderId="3" xfId="0" applyFont="1" applyFill="1" applyBorder="1" applyAlignment="1" applyProtection="1">
      <alignment horizontal="center"/>
    </xf>
    <xf numFmtId="0" fontId="0" fillId="2" borderId="28" xfId="0" applyFont="1" applyFill="1" applyBorder="1" applyAlignment="1" applyProtection="1">
      <alignment horizontal="center"/>
    </xf>
    <xf numFmtId="4" fontId="26" fillId="8" borderId="17" xfId="0" applyNumberFormat="1" applyFont="1" applyFill="1" applyBorder="1" applyAlignment="1" applyProtection="1">
      <alignment horizontal="center" vertical="center"/>
    </xf>
    <xf numFmtId="10" fontId="26" fillId="8" borderId="17" xfId="0" applyNumberFormat="1" applyFont="1" applyFill="1" applyBorder="1" applyAlignment="1" applyProtection="1">
      <alignment horizontal="center" vertical="center"/>
    </xf>
    <xf numFmtId="0" fontId="0" fillId="2" borderId="37" xfId="0" applyFont="1" applyFill="1" applyBorder="1" applyAlignment="1" applyProtection="1">
      <alignment horizontal="center"/>
    </xf>
    <xf numFmtId="10" fontId="6" fillId="2" borderId="3" xfId="0" applyNumberFormat="1" applyFont="1" applyFill="1" applyBorder="1" applyAlignment="1" applyProtection="1">
      <alignment horizontal="center" vertical="center"/>
    </xf>
    <xf numFmtId="0" fontId="0" fillId="7" borderId="7" xfId="0" applyFont="1" applyFill="1" applyBorder="1" applyAlignment="1" applyProtection="1">
      <alignment horizontal="center"/>
    </xf>
    <xf numFmtId="0" fontId="0" fillId="7" borderId="0" xfId="0" applyFont="1" applyFill="1" applyAlignment="1" applyProtection="1">
      <alignment horizontal="center"/>
    </xf>
    <xf numFmtId="4" fontId="6" fillId="6" borderId="15" xfId="0" applyNumberFormat="1" applyFont="1" applyFill="1" applyBorder="1" applyAlignment="1" applyProtection="1">
      <alignment horizontal="center"/>
    </xf>
    <xf numFmtId="0" fontId="0" fillId="6" borderId="15" xfId="0" applyFont="1" applyFill="1" applyBorder="1" applyAlignment="1" applyProtection="1">
      <alignment horizontal="center"/>
    </xf>
    <xf numFmtId="0" fontId="0" fillId="7" borderId="26" xfId="0" applyFont="1" applyFill="1" applyBorder="1" applyAlignment="1" applyProtection="1">
      <alignment horizontal="center"/>
    </xf>
    <xf numFmtId="0" fontId="0" fillId="7" borderId="22" xfId="0" applyFont="1" applyFill="1" applyBorder="1" applyAlignment="1" applyProtection="1">
      <alignment horizontal="center"/>
    </xf>
    <xf numFmtId="0" fontId="0" fillId="7" borderId="38" xfId="0" applyFont="1" applyFill="1" applyBorder="1" applyAlignment="1" applyProtection="1">
      <alignment horizontal="center"/>
    </xf>
    <xf numFmtId="0" fontId="0" fillId="7" borderId="20" xfId="0" applyFont="1" applyFill="1" applyBorder="1" applyAlignment="1" applyProtection="1">
      <alignment horizontal="center"/>
    </xf>
    <xf numFmtId="0" fontId="0" fillId="7" borderId="13" xfId="0" applyFont="1" applyFill="1" applyBorder="1" applyAlignment="1" applyProtection="1">
      <alignment horizontal="center"/>
    </xf>
    <xf numFmtId="4" fontId="6" fillId="6" borderId="16" xfId="0" applyNumberFormat="1" applyFont="1" applyFill="1" applyBorder="1" applyAlignment="1" applyProtection="1">
      <alignment horizontal="center"/>
    </xf>
    <xf numFmtId="0" fontId="0" fillId="7" borderId="25" xfId="0" applyFont="1" applyFill="1" applyBorder="1" applyAlignment="1" applyProtection="1">
      <alignment horizontal="center"/>
    </xf>
    <xf numFmtId="0" fontId="0" fillId="7" borderId="39" xfId="0" applyFont="1" applyFill="1" applyBorder="1" applyAlignment="1" applyProtection="1">
      <alignment horizontal="center"/>
    </xf>
    <xf numFmtId="0" fontId="0" fillId="7" borderId="23" xfId="0" applyFont="1" applyFill="1" applyBorder="1" applyAlignment="1" applyProtection="1">
      <alignment horizontal="center"/>
    </xf>
    <xf numFmtId="0" fontId="0" fillId="7" borderId="36" xfId="0" applyFont="1" applyFill="1" applyBorder="1" applyAlignment="1" applyProtection="1">
      <alignment horizontal="center"/>
    </xf>
    <xf numFmtId="0" fontId="0" fillId="7" borderId="24" xfId="0" applyFont="1" applyFill="1" applyBorder="1" applyAlignment="1" applyProtection="1">
      <alignment horizontal="center"/>
    </xf>
    <xf numFmtId="0" fontId="0" fillId="7" borderId="27" xfId="0" applyFont="1" applyFill="1" applyBorder="1" applyAlignment="1" applyProtection="1">
      <alignment horizontal="center"/>
    </xf>
    <xf numFmtId="164" fontId="6" fillId="6" borderId="15" xfId="0" applyNumberFormat="1" applyFont="1" applyFill="1" applyBorder="1" applyAlignment="1" applyProtection="1">
      <alignment horizontal="center"/>
    </xf>
    <xf numFmtId="164" fontId="6" fillId="6" borderId="16" xfId="0" applyNumberFormat="1" applyFont="1" applyFill="1" applyBorder="1" applyAlignment="1" applyProtection="1">
      <alignment horizontal="center"/>
    </xf>
    <xf numFmtId="4" fontId="6" fillId="6" borderId="15" xfId="0" applyNumberFormat="1" applyFont="1" applyFill="1" applyBorder="1" applyAlignment="1" applyProtection="1">
      <alignment horizontal="center" wrapText="1"/>
    </xf>
    <xf numFmtId="0" fontId="0" fillId="7" borderId="4" xfId="0" applyFont="1" applyFill="1" applyBorder="1" applyAlignment="1" applyProtection="1">
      <alignment horizontal="center"/>
    </xf>
    <xf numFmtId="4" fontId="6" fillId="6" borderId="16" xfId="0" applyNumberFormat="1" applyFont="1" applyFill="1" applyBorder="1" applyAlignment="1" applyProtection="1">
      <alignment horizontal="center" wrapText="1"/>
    </xf>
    <xf numFmtId="0" fontId="0" fillId="7" borderId="9" xfId="0" applyFont="1" applyFill="1" applyBorder="1" applyAlignment="1" applyProtection="1">
      <alignment horizontal="center"/>
    </xf>
    <xf numFmtId="0" fontId="6" fillId="7" borderId="8" xfId="0" applyFont="1" applyFill="1" applyBorder="1" applyAlignment="1" applyProtection="1">
      <alignment horizontal="center" vertical="center"/>
    </xf>
    <xf numFmtId="0" fontId="0" fillId="7" borderId="8" xfId="0" applyFont="1" applyFill="1" applyBorder="1" applyAlignment="1" applyProtection="1">
      <alignment horizontal="center"/>
    </xf>
    <xf numFmtId="0" fontId="6" fillId="7" borderId="22" xfId="0" applyFont="1" applyFill="1" applyBorder="1" applyAlignment="1" applyProtection="1">
      <alignment horizontal="center" vertical="center"/>
    </xf>
    <xf numFmtId="0" fontId="0" fillId="7" borderId="42" xfId="0" applyFont="1" applyFill="1" applyBorder="1" applyAlignment="1" applyProtection="1">
      <alignment horizontal="center"/>
    </xf>
    <xf numFmtId="0" fontId="6" fillId="6" borderId="17" xfId="0" applyFont="1" applyFill="1" applyBorder="1" applyAlignment="1" applyProtection="1">
      <alignment horizontal="center"/>
    </xf>
    <xf numFmtId="0" fontId="0" fillId="7" borderId="0" xfId="0" applyFont="1" applyFill="1" applyBorder="1" applyAlignment="1" applyProtection="1">
      <alignment horizontal="center"/>
    </xf>
    <xf numFmtId="0" fontId="26" fillId="8" borderId="14" xfId="5" applyFont="1" applyFill="1" applyBorder="1" applyAlignment="1" applyProtection="1">
      <alignment horizontal="center" vertical="center"/>
    </xf>
    <xf numFmtId="0" fontId="8" fillId="8" borderId="14" xfId="5" applyFont="1" applyFill="1" applyBorder="1" applyAlignment="1" applyProtection="1">
      <alignment horizontal="center" vertical="center"/>
    </xf>
    <xf numFmtId="2" fontId="26" fillId="8" borderId="14" xfId="5" applyNumberFormat="1" applyFont="1" applyFill="1" applyBorder="1" applyAlignment="1" applyProtection="1">
      <alignment horizontal="center" vertical="center"/>
    </xf>
    <xf numFmtId="4" fontId="6" fillId="0" borderId="14" xfId="0" applyNumberFormat="1" applyFont="1" applyBorder="1" applyAlignment="1" applyProtection="1">
      <alignment horizontal="center" vertical="center"/>
    </xf>
    <xf numFmtId="4" fontId="33" fillId="0" borderId="30" xfId="0" applyNumberFormat="1" applyFont="1" applyBorder="1" applyAlignment="1" applyProtection="1">
      <alignment horizontal="center" vertical="center" wrapText="1"/>
    </xf>
    <xf numFmtId="4" fontId="6" fillId="6" borderId="17" xfId="0" applyNumberFormat="1" applyFont="1" applyFill="1" applyBorder="1" applyAlignment="1" applyProtection="1">
      <alignment horizontal="center"/>
    </xf>
    <xf numFmtId="0" fontId="26" fillId="8" borderId="14" xfId="0" applyFont="1" applyFill="1" applyBorder="1" applyAlignment="1" applyProtection="1">
      <alignment horizontal="center"/>
    </xf>
    <xf numFmtId="0" fontId="6" fillId="0" borderId="14" xfId="0" applyFont="1" applyBorder="1" applyAlignment="1" applyProtection="1">
      <alignment horizontal="center" vertical="center"/>
    </xf>
    <xf numFmtId="2" fontId="6" fillId="0" borderId="14" xfId="0" applyNumberFormat="1" applyFont="1" applyBorder="1" applyAlignment="1" applyProtection="1">
      <alignment horizontal="center" vertical="center"/>
    </xf>
    <xf numFmtId="4" fontId="28" fillId="0" borderId="14" xfId="0" applyNumberFormat="1" applyFont="1" applyBorder="1" applyAlignment="1" applyProtection="1">
      <alignment horizontal="center" vertical="center"/>
    </xf>
    <xf numFmtId="4" fontId="34" fillId="0" borderId="30" xfId="0" applyNumberFormat="1" applyFont="1" applyBorder="1" applyAlignment="1" applyProtection="1">
      <alignment horizontal="center" vertical="center"/>
    </xf>
    <xf numFmtId="2" fontId="3" fillId="6" borderId="14" xfId="0" applyNumberFormat="1" applyFont="1" applyFill="1" applyBorder="1" applyAlignment="1" applyProtection="1">
      <alignment horizontal="center"/>
    </xf>
    <xf numFmtId="0" fontId="0" fillId="7" borderId="34" xfId="0" applyFont="1" applyFill="1" applyBorder="1" applyAlignment="1" applyProtection="1">
      <alignment horizontal="center"/>
    </xf>
    <xf numFmtId="10" fontId="28" fillId="6" borderId="14" xfId="2" applyNumberFormat="1" applyFont="1" applyFill="1" applyBorder="1" applyAlignment="1" applyProtection="1">
      <alignment horizontal="center"/>
    </xf>
    <xf numFmtId="4" fontId="6" fillId="0" borderId="14" xfId="0" applyNumberFormat="1" applyFont="1" applyBorder="1" applyAlignment="1" applyProtection="1">
      <alignment horizontal="center"/>
    </xf>
    <xf numFmtId="0" fontId="24" fillId="0" borderId="0" xfId="0" applyFont="1" applyAlignment="1">
      <alignment wrapText="1"/>
    </xf>
    <xf numFmtId="0" fontId="27" fillId="0" borderId="0" xfId="0" applyFont="1" applyAlignment="1">
      <alignment horizontal="center"/>
    </xf>
    <xf numFmtId="0" fontId="0" fillId="2" borderId="28" xfId="0" applyFont="1" applyFill="1" applyBorder="1" applyAlignment="1">
      <alignment horizontal="center" vertical="center"/>
    </xf>
    <xf numFmtId="0" fontId="26" fillId="6" borderId="18" xfId="0" applyFont="1" applyFill="1" applyBorder="1" applyAlignment="1">
      <alignment horizontal="center" vertical="center"/>
    </xf>
    <xf numFmtId="164" fontId="26" fillId="6" borderId="19" xfId="1" applyNumberFormat="1" applyFont="1" applyFill="1" applyBorder="1" applyAlignment="1" applyProtection="1">
      <alignment horizontal="center" vertical="center"/>
      <protection locked="0"/>
    </xf>
    <xf numFmtId="0" fontId="6" fillId="0" borderId="81" xfId="0" applyFont="1" applyBorder="1" applyAlignment="1">
      <alignment horizontal="right"/>
    </xf>
    <xf numFmtId="4" fontId="6" fillId="0" borderId="81" xfId="0" applyNumberFormat="1" applyFont="1" applyBorder="1" applyAlignment="1">
      <alignment horizontal="right"/>
    </xf>
    <xf numFmtId="0" fontId="3" fillId="0" borderId="26" xfId="0" applyFont="1" applyBorder="1"/>
    <xf numFmtId="0" fontId="6" fillId="0" borderId="26" xfId="0" applyFont="1" applyBorder="1" applyAlignment="1">
      <alignment horizontal="right"/>
    </xf>
    <xf numFmtId="4" fontId="6" fillId="0" borderId="26" xfId="0" applyNumberFormat="1" applyFont="1" applyBorder="1" applyAlignment="1">
      <alignment horizontal="right"/>
    </xf>
    <xf numFmtId="0" fontId="7" fillId="0" borderId="26" xfId="0" applyFont="1" applyBorder="1"/>
    <xf numFmtId="0" fontId="0" fillId="0" borderId="26" xfId="0" applyFont="1" applyBorder="1" applyAlignment="1">
      <alignment horizontal="right"/>
    </xf>
    <xf numFmtId="4" fontId="6" fillId="0" borderId="26" xfId="0" applyNumberFormat="1" applyFont="1" applyBorder="1" applyAlignment="1">
      <alignment horizontal="right" wrapText="1"/>
    </xf>
    <xf numFmtId="43" fontId="6" fillId="0" borderId="26" xfId="1" applyFont="1" applyBorder="1" applyAlignment="1">
      <alignment horizontal="left" vertical="center" wrapText="1"/>
    </xf>
    <xf numFmtId="43" fontId="13" fillId="4" borderId="26" xfId="4" applyNumberFormat="1" applyFont="1" applyBorder="1" applyAlignment="1">
      <alignment horizontal="left" vertical="center" wrapText="1"/>
    </xf>
    <xf numFmtId="0" fontId="28" fillId="4" borderId="26" xfId="4" applyFont="1" applyBorder="1"/>
    <xf numFmtId="0" fontId="28" fillId="6" borderId="26" xfId="4" applyFont="1" applyFill="1" applyBorder="1"/>
    <xf numFmtId="0" fontId="6" fillId="3" borderId="26" xfId="3" applyFont="1" applyBorder="1" applyAlignment="1">
      <alignment wrapText="1"/>
    </xf>
    <xf numFmtId="0" fontId="6" fillId="3" borderId="26" xfId="3" applyFont="1" applyBorder="1"/>
    <xf numFmtId="0" fontId="6" fillId="6" borderId="26" xfId="3" applyFont="1" applyFill="1" applyBorder="1"/>
    <xf numFmtId="4" fontId="6" fillId="0" borderId="82" xfId="0" applyNumberFormat="1" applyFont="1" applyBorder="1" applyAlignment="1">
      <alignment horizontal="right"/>
    </xf>
    <xf numFmtId="4" fontId="26" fillId="6" borderId="8" xfId="0" applyNumberFormat="1" applyFont="1" applyFill="1" applyBorder="1" applyAlignment="1">
      <alignment horizontal="center" vertical="center" wrapText="1"/>
    </xf>
    <xf numFmtId="164" fontId="28" fillId="2" borderId="83" xfId="1" applyNumberFormat="1" applyFont="1" applyFill="1" applyBorder="1" applyAlignment="1">
      <alignment horizontal="center" vertical="center"/>
    </xf>
    <xf numFmtId="164" fontId="28" fillId="2" borderId="84" xfId="1" applyNumberFormat="1" applyFont="1" applyFill="1" applyBorder="1" applyAlignment="1">
      <alignment horizontal="center" vertical="center" wrapText="1"/>
    </xf>
    <xf numFmtId="10" fontId="6" fillId="2" borderId="85" xfId="2" applyNumberFormat="1" applyFont="1" applyFill="1" applyBorder="1" applyAlignment="1">
      <alignment horizontal="center" vertical="center"/>
    </xf>
    <xf numFmtId="0" fontId="0" fillId="2" borderId="84" xfId="0" applyFont="1" applyFill="1" applyBorder="1" applyAlignment="1">
      <alignment horizontal="center"/>
    </xf>
    <xf numFmtId="0" fontId="0" fillId="7" borderId="86" xfId="0" applyFont="1" applyFill="1" applyBorder="1" applyAlignment="1">
      <alignment horizontal="center"/>
    </xf>
    <xf numFmtId="0" fontId="6" fillId="7" borderId="81" xfId="0" applyFont="1" applyFill="1" applyBorder="1" applyAlignment="1">
      <alignment horizontal="center" vertical="center"/>
    </xf>
    <xf numFmtId="2" fontId="26" fillId="8" borderId="90" xfId="5" applyNumberFormat="1" applyFont="1" applyFill="1" applyBorder="1" applyAlignment="1" applyProtection="1">
      <alignment horizontal="center" vertical="center"/>
      <protection locked="0"/>
    </xf>
    <xf numFmtId="2" fontId="26" fillId="8" borderId="91" xfId="5" applyNumberFormat="1" applyFont="1" applyFill="1" applyBorder="1" applyAlignment="1" applyProtection="1">
      <alignment horizontal="center" vertical="center"/>
      <protection locked="0"/>
    </xf>
    <xf numFmtId="0" fontId="26" fillId="8" borderId="94" xfId="5" applyFont="1" applyFill="1" applyBorder="1" applyAlignment="1" applyProtection="1">
      <alignment horizontal="center" vertical="center"/>
      <protection locked="0"/>
    </xf>
    <xf numFmtId="0" fontId="8" fillId="8" borderId="90" xfId="5" applyFont="1" applyFill="1" applyBorder="1" applyAlignment="1" applyProtection="1">
      <alignment horizontal="center" vertical="center"/>
      <protection locked="0"/>
    </xf>
    <xf numFmtId="0" fontId="0" fillId="11" borderId="8" xfId="0" applyFont="1" applyFill="1" applyBorder="1" applyAlignment="1">
      <alignment horizontal="center"/>
    </xf>
    <xf numFmtId="0" fontId="3" fillId="11" borderId="18" xfId="0" applyFont="1" applyFill="1" applyBorder="1" applyAlignment="1">
      <alignment vertical="center"/>
    </xf>
    <xf numFmtId="43" fontId="28" fillId="0" borderId="56" xfId="5" applyNumberFormat="1" applyFont="1" applyFill="1" applyBorder="1" applyProtection="1"/>
    <xf numFmtId="0" fontId="28" fillId="0" borderId="56" xfId="5" applyFont="1" applyFill="1" applyBorder="1" applyAlignment="1" applyProtection="1">
      <alignment horizontal="center"/>
    </xf>
    <xf numFmtId="10" fontId="26" fillId="8" borderId="41" xfId="0" applyNumberFormat="1" applyFont="1" applyFill="1" applyBorder="1" applyAlignment="1" applyProtection="1">
      <alignment horizontal="center" vertical="center"/>
      <protection locked="0"/>
    </xf>
    <xf numFmtId="0" fontId="0" fillId="7" borderId="97" xfId="0" applyFont="1" applyFill="1" applyBorder="1" applyAlignment="1">
      <alignment horizontal="center"/>
    </xf>
    <xf numFmtId="0" fontId="0" fillId="7" borderId="98" xfId="0" applyFont="1" applyFill="1" applyBorder="1" applyAlignment="1">
      <alignment horizontal="center"/>
    </xf>
    <xf numFmtId="4" fontId="6" fillId="0" borderId="42" xfId="0" applyNumberFormat="1" applyFont="1" applyBorder="1" applyAlignment="1">
      <alignment horizontal="center" vertical="center"/>
    </xf>
    <xf numFmtId="10" fontId="6" fillId="2" borderId="28" xfId="0" applyNumberFormat="1" applyFont="1" applyFill="1" applyBorder="1" applyAlignment="1">
      <alignment horizontal="center" vertical="center"/>
    </xf>
    <xf numFmtId="0" fontId="28" fillId="0" borderId="56" xfId="5" applyFont="1" applyFill="1" applyBorder="1" applyAlignment="1" applyProtection="1">
      <alignment horizontal="center" vertical="center" wrapText="1"/>
    </xf>
    <xf numFmtId="0" fontId="0" fillId="9" borderId="81" xfId="0" applyFont="1" applyFill="1" applyBorder="1" applyAlignment="1">
      <alignment horizontal="center"/>
    </xf>
    <xf numFmtId="4" fontId="33" fillId="0" borderId="82" xfId="0" applyNumberFormat="1" applyFont="1" applyBorder="1" applyAlignment="1">
      <alignment horizontal="center" vertical="center" wrapText="1"/>
    </xf>
    <xf numFmtId="4" fontId="26" fillId="8" borderId="80" xfId="0" applyNumberFormat="1" applyFont="1" applyFill="1" applyBorder="1" applyAlignment="1" applyProtection="1">
      <alignment horizontal="right"/>
    </xf>
    <xf numFmtId="0" fontId="6" fillId="0" borderId="92" xfId="0" applyFont="1" applyBorder="1" applyAlignment="1" applyProtection="1">
      <alignment horizontal="center" vertical="center"/>
    </xf>
    <xf numFmtId="2" fontId="6" fillId="0" borderId="95" xfId="0" applyNumberFormat="1" applyFont="1" applyBorder="1" applyAlignment="1" applyProtection="1">
      <alignment horizontal="center" vertical="center"/>
    </xf>
    <xf numFmtId="2" fontId="6" fillId="0" borderId="92" xfId="0" applyNumberFormat="1" applyFont="1" applyBorder="1" applyAlignment="1" applyProtection="1">
      <alignment horizontal="center" vertical="center"/>
    </xf>
    <xf numFmtId="2" fontId="6" fillId="0" borderId="93" xfId="0" applyNumberFormat="1" applyFont="1" applyBorder="1" applyAlignment="1" applyProtection="1">
      <alignment horizontal="center" vertical="center"/>
    </xf>
    <xf numFmtId="2" fontId="3" fillId="7" borderId="96" xfId="0" applyNumberFormat="1" applyFont="1" applyFill="1" applyBorder="1" applyAlignment="1" applyProtection="1">
      <alignment horizontal="center"/>
    </xf>
    <xf numFmtId="4" fontId="28" fillId="11" borderId="81" xfId="0" applyNumberFormat="1" applyFont="1" applyFill="1" applyBorder="1" applyAlignment="1" applyProtection="1">
      <alignment horizontal="center" vertical="center"/>
    </xf>
    <xf numFmtId="4" fontId="34" fillId="11" borderId="7" xfId="0" applyNumberFormat="1" applyFont="1" applyFill="1" applyBorder="1" applyAlignment="1" applyProtection="1">
      <alignment horizontal="center" vertical="center"/>
    </xf>
    <xf numFmtId="4" fontId="26" fillId="8" borderId="79" xfId="0" applyNumberFormat="1" applyFont="1" applyFill="1" applyBorder="1" applyAlignment="1" applyProtection="1">
      <alignment horizontal="center"/>
    </xf>
    <xf numFmtId="0" fontId="0" fillId="0" borderId="0" xfId="0" applyFont="1" applyFill="1" applyBorder="1" applyAlignment="1" applyProtection="1">
      <alignment horizontal="center"/>
    </xf>
    <xf numFmtId="0" fontId="0" fillId="11" borderId="82" xfId="0" applyFont="1" applyFill="1" applyBorder="1" applyAlignment="1" applyProtection="1">
      <alignment horizontal="center"/>
    </xf>
    <xf numFmtId="0" fontId="0" fillId="11" borderId="89" xfId="0" applyFont="1" applyFill="1" applyBorder="1" applyAlignment="1" applyProtection="1">
      <alignment horizontal="center"/>
    </xf>
    <xf numFmtId="0" fontId="0" fillId="7" borderId="80" xfId="0" applyFont="1" applyFill="1" applyBorder="1" applyAlignment="1" applyProtection="1">
      <alignment horizontal="center"/>
    </xf>
    <xf numFmtId="4" fontId="0" fillId="7" borderId="7" xfId="0" applyNumberFormat="1" applyFont="1" applyFill="1" applyBorder="1" applyAlignment="1" applyProtection="1">
      <alignment horizontal="center"/>
    </xf>
    <xf numFmtId="4" fontId="0" fillId="7" borderId="26" xfId="0" applyNumberFormat="1" applyFont="1" applyFill="1" applyBorder="1" applyAlignment="1" applyProtection="1">
      <alignment horizontal="center"/>
    </xf>
    <xf numFmtId="0" fontId="0" fillId="0" borderId="0" xfId="0" applyFont="1" applyFill="1" applyBorder="1" applyAlignment="1" applyProtection="1">
      <alignment horizontal="left" vertical="center"/>
    </xf>
    <xf numFmtId="0" fontId="0" fillId="0" borderId="7" xfId="0" applyFont="1" applyFill="1" applyBorder="1" applyAlignment="1" applyProtection="1">
      <alignment horizontal="center"/>
    </xf>
    <xf numFmtId="2" fontId="3" fillId="6" borderId="30" xfId="0" applyNumberFormat="1" applyFont="1" applyFill="1" applyBorder="1" applyAlignment="1" applyProtection="1">
      <alignment horizontal="center"/>
    </xf>
    <xf numFmtId="0" fontId="0" fillId="7" borderId="31" xfId="0" applyFont="1" applyFill="1" applyBorder="1" applyAlignment="1" applyProtection="1">
      <alignment horizontal="center"/>
    </xf>
    <xf numFmtId="0" fontId="0" fillId="0" borderId="6" xfId="0" applyFont="1" applyFill="1" applyBorder="1" applyAlignment="1" applyProtection="1">
      <alignment horizontal="center"/>
    </xf>
    <xf numFmtId="0" fontId="0" fillId="0" borderId="9" xfId="0" applyFont="1" applyFill="1" applyBorder="1" applyAlignment="1" applyProtection="1">
      <alignment horizontal="center"/>
    </xf>
    <xf numFmtId="0" fontId="0" fillId="7" borderId="6" xfId="0" applyFont="1" applyFill="1" applyBorder="1" applyAlignment="1" applyProtection="1">
      <alignment horizontal="center"/>
    </xf>
    <xf numFmtId="0" fontId="0" fillId="7" borderId="29" xfId="0" applyFont="1" applyFill="1" applyBorder="1" applyAlignment="1" applyProtection="1">
      <alignment horizontal="center"/>
    </xf>
    <xf numFmtId="0" fontId="0" fillId="7" borderId="43" xfId="0" applyFont="1" applyFill="1" applyBorder="1" applyAlignment="1" applyProtection="1">
      <alignment horizontal="center"/>
    </xf>
    <xf numFmtId="0" fontId="0" fillId="7" borderId="47" xfId="0" applyFont="1" applyFill="1" applyBorder="1" applyAlignment="1" applyProtection="1">
      <alignment horizontal="center"/>
    </xf>
    <xf numFmtId="0" fontId="0" fillId="7" borderId="44" xfId="0" applyFont="1" applyFill="1" applyBorder="1" applyAlignment="1" applyProtection="1">
      <alignment horizontal="center"/>
    </xf>
    <xf numFmtId="0" fontId="0" fillId="7" borderId="86" xfId="0" applyFont="1" applyFill="1" applyBorder="1" applyAlignment="1" applyProtection="1">
      <alignment horizontal="center"/>
    </xf>
    <xf numFmtId="0" fontId="0" fillId="7" borderId="45" xfId="0" applyFont="1" applyFill="1" applyBorder="1" applyAlignment="1" applyProtection="1">
      <alignment horizontal="center"/>
    </xf>
    <xf numFmtId="4" fontId="26" fillId="8" borderId="80" xfId="0" applyNumberFormat="1" applyFont="1" applyFill="1" applyBorder="1" applyProtection="1"/>
    <xf numFmtId="4" fontId="26" fillId="8" borderId="56" xfId="0" applyNumberFormat="1" applyFont="1" applyFill="1" applyBorder="1" applyAlignment="1" applyProtection="1">
      <alignment horizontal="center"/>
    </xf>
    <xf numFmtId="2" fontId="3" fillId="0" borderId="14" xfId="0" applyNumberFormat="1" applyFont="1" applyBorder="1" applyAlignment="1" applyProtection="1">
      <alignment horizontal="center"/>
    </xf>
    <xf numFmtId="4" fontId="6" fillId="0" borderId="30" xfId="0" applyNumberFormat="1" applyFont="1" applyBorder="1" applyAlignment="1" applyProtection="1">
      <alignment horizontal="center"/>
    </xf>
    <xf numFmtId="4" fontId="6" fillId="6" borderId="16" xfId="0" applyNumberFormat="1" applyFont="1" applyFill="1" applyBorder="1" applyProtection="1"/>
    <xf numFmtId="4" fontId="6" fillId="0" borderId="80" xfId="0" applyNumberFormat="1" applyFont="1" applyBorder="1" applyAlignment="1" applyProtection="1">
      <alignment horizontal="right"/>
    </xf>
    <xf numFmtId="0" fontId="0" fillId="7" borderId="48" xfId="0" applyFont="1" applyFill="1" applyBorder="1" applyAlignment="1" applyProtection="1">
      <alignment horizontal="center"/>
    </xf>
    <xf numFmtId="0" fontId="0" fillId="7" borderId="87" xfId="0" applyFont="1" applyFill="1" applyBorder="1" applyAlignment="1" applyProtection="1">
      <alignment horizontal="center"/>
    </xf>
    <xf numFmtId="0" fontId="0" fillId="7" borderId="26" xfId="0" applyFont="1" applyFill="1" applyBorder="1" applyProtection="1"/>
    <xf numFmtId="0" fontId="0" fillId="7" borderId="86" xfId="0" applyFont="1" applyFill="1" applyBorder="1" applyProtection="1"/>
    <xf numFmtId="0" fontId="0" fillId="7" borderId="40" xfId="0" applyFont="1" applyFill="1" applyBorder="1" applyAlignment="1" applyProtection="1">
      <alignment horizontal="center"/>
    </xf>
    <xf numFmtId="2" fontId="6" fillId="6" borderId="14" xfId="0" applyNumberFormat="1" applyFont="1" applyFill="1" applyBorder="1" applyAlignment="1" applyProtection="1">
      <alignment horizontal="center"/>
    </xf>
    <xf numFmtId="2" fontId="6" fillId="6" borderId="14" xfId="0" applyNumberFormat="1" applyFont="1" applyFill="1" applyBorder="1" applyProtection="1"/>
    <xf numFmtId="4" fontId="0" fillId="7" borderId="34" xfId="0" applyNumberFormat="1" applyFont="1" applyFill="1" applyBorder="1" applyProtection="1"/>
    <xf numFmtId="4" fontId="0" fillId="7" borderId="87" xfId="0" applyNumberFormat="1" applyFont="1" applyFill="1" applyBorder="1" applyProtection="1"/>
    <xf numFmtId="0" fontId="0" fillId="7" borderId="26" xfId="0" applyFill="1" applyBorder="1" applyProtection="1"/>
    <xf numFmtId="14" fontId="26" fillId="8" borderId="80" xfId="0" applyNumberFormat="1" applyFont="1" applyFill="1" applyBorder="1" applyProtection="1"/>
    <xf numFmtId="2" fontId="28" fillId="6" borderId="80" xfId="0" applyNumberFormat="1" applyFont="1" applyFill="1" applyBorder="1" applyProtection="1"/>
    <xf numFmtId="0" fontId="28" fillId="6" borderId="80" xfId="0" applyFont="1" applyFill="1" applyBorder="1" applyProtection="1"/>
    <xf numFmtId="164" fontId="6" fillId="0" borderId="14" xfId="1" applyNumberFormat="1" applyFont="1" applyBorder="1" applyProtection="1"/>
    <xf numFmtId="164" fontId="6" fillId="0" borderId="14" xfId="1" applyNumberFormat="1" applyFont="1" applyBorder="1" applyAlignment="1" applyProtection="1">
      <alignment horizontal="center" vertical="center"/>
    </xf>
    <xf numFmtId="0" fontId="0" fillId="7" borderId="52" xfId="0" applyFont="1" applyFill="1" applyBorder="1" applyAlignment="1" applyProtection="1">
      <alignment horizontal="center"/>
    </xf>
    <xf numFmtId="0" fontId="0" fillId="7" borderId="88" xfId="0" applyFont="1" applyFill="1" applyBorder="1" applyAlignment="1" applyProtection="1">
      <alignment horizontal="center"/>
    </xf>
    <xf numFmtId="4" fontId="26" fillId="8" borderId="80" xfId="0" applyNumberFormat="1" applyFont="1" applyFill="1" applyBorder="1" applyAlignment="1" applyProtection="1">
      <alignment vertical="center"/>
    </xf>
    <xf numFmtId="0" fontId="0" fillId="7" borderId="8" xfId="0" applyFont="1" applyFill="1" applyBorder="1" applyAlignment="1" applyProtection="1">
      <alignment horizontal="center" vertical="center"/>
    </xf>
    <xf numFmtId="0" fontId="0" fillId="7" borderId="22" xfId="0" applyFont="1" applyFill="1" applyBorder="1" applyAlignment="1" applyProtection="1">
      <alignment horizontal="center" vertical="center"/>
    </xf>
    <xf numFmtId="0" fontId="0" fillId="7" borderId="26"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7" borderId="54" xfId="0" applyFont="1" applyFill="1" applyBorder="1" applyAlignment="1" applyProtection="1">
      <alignment horizontal="center"/>
    </xf>
    <xf numFmtId="0" fontId="0" fillId="7" borderId="55" xfId="0" applyFont="1" applyFill="1" applyBorder="1" applyAlignment="1" applyProtection="1">
      <alignment horizontal="center"/>
    </xf>
    <xf numFmtId="0" fontId="0" fillId="0" borderId="45" xfId="0" applyFont="1" applyFill="1" applyBorder="1" applyAlignment="1" applyProtection="1">
      <alignment horizontal="center"/>
    </xf>
    <xf numFmtId="0" fontId="0" fillId="0" borderId="0" xfId="0" applyFill="1" applyBorder="1" applyProtection="1"/>
    <xf numFmtId="0" fontId="0" fillId="0" borderId="0" xfId="0" applyFill="1" applyProtection="1"/>
    <xf numFmtId="0" fontId="0" fillId="0" borderId="0" xfId="0" applyProtection="1"/>
    <xf numFmtId="2" fontId="26" fillId="0" borderId="0" xfId="0" applyNumberFormat="1" applyFont="1" applyAlignment="1">
      <alignment vertical="center"/>
    </xf>
    <xf numFmtId="0" fontId="27" fillId="0" borderId="0" xfId="0" applyFont="1" applyAlignment="1">
      <alignment vertical="center"/>
    </xf>
    <xf numFmtId="0" fontId="0" fillId="9" borderId="3" xfId="0" applyFont="1" applyFill="1" applyBorder="1" applyAlignment="1">
      <alignment horizontal="center" vertical="center"/>
    </xf>
    <xf numFmtId="0" fontId="0" fillId="0" borderId="0" xfId="0" applyAlignment="1">
      <alignment horizontal="center"/>
    </xf>
    <xf numFmtId="4" fontId="26" fillId="8" borderId="80" xfId="0" applyNumberFormat="1" applyFont="1" applyFill="1" applyBorder="1" applyAlignment="1" applyProtection="1">
      <alignment horizontal="center" wrapText="1"/>
    </xf>
    <xf numFmtId="4" fontId="44" fillId="8" borderId="30" xfId="0" applyNumberFormat="1" applyFont="1" applyFill="1" applyBorder="1" applyAlignment="1" applyProtection="1">
      <alignment horizontal="center" vertical="center" wrapText="1"/>
    </xf>
    <xf numFmtId="0" fontId="0" fillId="7" borderId="22" xfId="0" applyFont="1" applyFill="1" applyBorder="1" applyAlignment="1">
      <alignment horizontal="center" wrapText="1"/>
    </xf>
    <xf numFmtId="0" fontId="18" fillId="0" borderId="0" xfId="0" applyFont="1" applyFill="1"/>
    <xf numFmtId="0" fontId="15" fillId="0" borderId="0" xfId="0" applyFont="1" applyFill="1"/>
    <xf numFmtId="0" fontId="14" fillId="0" borderId="0" xfId="0" applyFont="1" applyFill="1"/>
    <xf numFmtId="0" fontId="17" fillId="0" borderId="0" xfId="0" applyFont="1" applyFill="1"/>
    <xf numFmtId="0" fontId="19" fillId="0" borderId="0" xfId="0" applyFont="1" applyFill="1"/>
    <xf numFmtId="0" fontId="16" fillId="0" borderId="0" xfId="0" applyFont="1" applyFill="1" applyAlignment="1">
      <alignment wrapText="1"/>
    </xf>
    <xf numFmtId="0" fontId="21" fillId="0" borderId="0" xfId="0" applyFont="1" applyFill="1" applyAlignment="1">
      <alignment vertical="center"/>
    </xf>
    <xf numFmtId="0" fontId="14" fillId="0" borderId="0" xfId="0" applyFont="1" applyFill="1" applyAlignment="1">
      <alignment wrapText="1"/>
    </xf>
    <xf numFmtId="0" fontId="45" fillId="0" borderId="0" xfId="0" applyFont="1" applyFill="1"/>
    <xf numFmtId="0" fontId="0" fillId="0" borderId="0" xfId="0" applyFill="1" applyAlignment="1">
      <alignment wrapText="1"/>
    </xf>
    <xf numFmtId="0" fontId="0" fillId="0" borderId="0" xfId="0" applyFill="1"/>
    <xf numFmtId="165" fontId="6" fillId="2" borderId="3" xfId="0" applyNumberFormat="1" applyFont="1" applyFill="1" applyBorder="1" applyAlignment="1" applyProtection="1">
      <alignment horizontal="center" vertical="center"/>
    </xf>
    <xf numFmtId="10" fontId="0" fillId="0" borderId="0" xfId="2" applyNumberFormat="1" applyFont="1"/>
    <xf numFmtId="0" fontId="0" fillId="0" borderId="78" xfId="0" applyBorder="1"/>
    <xf numFmtId="4" fontId="0" fillId="0" borderId="99" xfId="0" applyNumberFormat="1" applyBorder="1" applyAlignment="1">
      <alignment horizontal="center"/>
    </xf>
    <xf numFmtId="0" fontId="0" fillId="0" borderId="100" xfId="0" applyBorder="1"/>
    <xf numFmtId="0" fontId="0" fillId="0" borderId="83" xfId="0" applyBorder="1"/>
    <xf numFmtId="2" fontId="0" fillId="0" borderId="101" xfId="0" applyNumberFormat="1" applyBorder="1" applyAlignment="1">
      <alignment horizontal="center"/>
    </xf>
    <xf numFmtId="2" fontId="0" fillId="0" borderId="102" xfId="0" applyNumberFormat="1" applyBorder="1" applyAlignment="1">
      <alignment horizontal="center"/>
    </xf>
    <xf numFmtId="165" fontId="6" fillId="2" borderId="3" xfId="0" applyNumberFormat="1" applyFont="1" applyFill="1" applyBorder="1" applyAlignment="1">
      <alignment horizontal="center" vertical="center"/>
    </xf>
    <xf numFmtId="3" fontId="8" fillId="0" borderId="0" xfId="0" applyNumberFormat="1" applyFont="1" applyProtection="1"/>
    <xf numFmtId="0" fontId="28" fillId="2" borderId="73" xfId="0" applyFont="1" applyFill="1" applyBorder="1" applyAlignment="1">
      <alignment horizontal="center" vertical="center" wrapText="1"/>
    </xf>
    <xf numFmtId="164" fontId="28" fillId="2" borderId="103" xfId="1" applyNumberFormat="1" applyFont="1" applyFill="1" applyBorder="1" applyAlignment="1">
      <alignment horizontal="center" vertical="center"/>
    </xf>
    <xf numFmtId="0" fontId="35" fillId="8" borderId="17" xfId="0" applyFont="1" applyFill="1" applyBorder="1" applyAlignment="1" applyProtection="1">
      <alignment horizontal="center" vertical="center" wrapText="1"/>
    </xf>
    <xf numFmtId="0" fontId="35" fillId="8" borderId="16" xfId="0" applyFont="1" applyFill="1" applyBorder="1" applyAlignment="1" applyProtection="1">
      <alignment vertical="center" wrapText="1"/>
    </xf>
    <xf numFmtId="0" fontId="35" fillId="8" borderId="17" xfId="0" applyFont="1" applyFill="1" applyBorder="1" applyAlignment="1" applyProtection="1">
      <alignment horizontal="center" vertical="center" wrapText="1"/>
      <protection locked="0"/>
    </xf>
    <xf numFmtId="0" fontId="35" fillId="8" borderId="16" xfId="0" applyFont="1" applyFill="1" applyBorder="1" applyAlignment="1" applyProtection="1">
      <alignment vertical="center" wrapText="1"/>
      <protection locked="0"/>
    </xf>
    <xf numFmtId="0" fontId="0" fillId="0" borderId="4" xfId="0" applyBorder="1" applyAlignment="1">
      <alignment wrapText="1"/>
    </xf>
  </cellXfs>
  <cellStyles count="6">
    <cellStyle name="20 % - Akzent1" xfId="3" builtinId="30"/>
    <cellStyle name="60 % - Akzent6" xfId="4" builtinId="52"/>
    <cellStyle name="Gut" xfId="5" builtinId="26"/>
    <cellStyle name="Komma" xfId="1" builtinId="3"/>
    <cellStyle name="Prozent" xfId="2" builtinId="5"/>
    <cellStyle name="Standard" xfId="0" builtinId="0"/>
  </cellStyles>
  <dxfs count="0"/>
  <tableStyles count="0" defaultTableStyle="TableStyleMedium2" defaultPivotStyle="PivotStyleLight16"/>
  <colors>
    <mruColors>
      <color rgb="FFC00000"/>
      <color rgb="FFFFFFFF"/>
      <color rgb="FFDDDDDD"/>
      <color rgb="FFD8D8D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V408"/>
  <sheetViews>
    <sheetView tabSelected="1" zoomScale="90" zoomScaleNormal="90" workbookViewId="0">
      <selection activeCell="B1" sqref="B1"/>
    </sheetView>
  </sheetViews>
  <sheetFormatPr baseColWidth="10" defaultRowHeight="14.4" x14ac:dyDescent="0.3"/>
  <cols>
    <col min="1" max="1" width="67.88671875" customWidth="1"/>
    <col min="2" max="2" width="11.33203125" bestFit="1" customWidth="1"/>
    <col min="3" max="3" width="15.6640625" hidden="1" customWidth="1"/>
    <col min="4" max="4" width="9.88671875" bestFit="1" customWidth="1"/>
    <col min="5" max="5" width="8.6640625" bestFit="1" customWidth="1"/>
    <col min="6" max="6" width="18.6640625" hidden="1" customWidth="1"/>
    <col min="7" max="7" width="9.88671875" hidden="1" customWidth="1"/>
    <col min="8" max="9" width="10.33203125" bestFit="1" customWidth="1"/>
    <col min="10" max="11" width="10.5546875" hidden="1" customWidth="1"/>
    <col min="12" max="12" width="9.88671875" hidden="1" customWidth="1"/>
    <col min="13" max="13" width="10" hidden="1" customWidth="1"/>
    <col min="14" max="14" width="10.109375" hidden="1" customWidth="1"/>
    <col min="15" max="15" width="12.109375" hidden="1" customWidth="1"/>
    <col min="16" max="16" width="10.44140625" hidden="1" customWidth="1"/>
    <col min="17" max="17" width="12.109375" hidden="1" customWidth="1"/>
    <col min="18" max="18" width="12" hidden="1" customWidth="1"/>
    <col min="19" max="19" width="12.5546875" hidden="1" customWidth="1"/>
    <col min="20" max="20" width="14.5546875" hidden="1" customWidth="1"/>
    <col min="21" max="22" width="15.88671875" hidden="1" customWidth="1"/>
  </cols>
  <sheetData>
    <row r="1" spans="1:22" ht="18.600000000000001" thickBot="1" x14ac:dyDescent="0.4">
      <c r="A1" s="5" t="s">
        <v>223</v>
      </c>
      <c r="B1" s="5">
        <f>Berechnung!B1</f>
        <v>2023</v>
      </c>
      <c r="C1" s="1"/>
    </row>
    <row r="2" spans="1:22" ht="40.65" customHeight="1" thickTop="1" thickBot="1" x14ac:dyDescent="0.4">
      <c r="B2" s="156">
        <f>Berechnung!B2</f>
        <v>4987.5</v>
      </c>
      <c r="T2" s="1"/>
      <c r="U2" s="6" t="s">
        <v>147</v>
      </c>
      <c r="V2" s="65">
        <v>36000</v>
      </c>
    </row>
    <row r="3" spans="1:22" ht="70.2" thickTop="1" thickBot="1" x14ac:dyDescent="0.35">
      <c r="A3" s="157" t="s">
        <v>146</v>
      </c>
      <c r="B3" s="23" t="str">
        <f>CONCATENATE("KV-BBG  ",B2," €")</f>
        <v>KV-BBG  4987,5 €</v>
      </c>
      <c r="C3" s="25" t="s">
        <v>12</v>
      </c>
      <c r="D3" s="26" t="s">
        <v>16</v>
      </c>
      <c r="E3" s="26" t="s">
        <v>18</v>
      </c>
      <c r="F3" s="25" t="s">
        <v>149</v>
      </c>
      <c r="G3" s="25" t="s">
        <v>1</v>
      </c>
      <c r="H3" s="26" t="s">
        <v>159</v>
      </c>
      <c r="I3" s="147" t="s">
        <v>160</v>
      </c>
      <c r="J3" s="145" t="s">
        <v>20</v>
      </c>
      <c r="K3" s="25" t="s">
        <v>21</v>
      </c>
      <c r="L3" s="25" t="s">
        <v>25</v>
      </c>
      <c r="M3" s="25" t="s">
        <v>26</v>
      </c>
      <c r="N3" s="36" t="s">
        <v>139</v>
      </c>
      <c r="O3" s="36" t="s">
        <v>142</v>
      </c>
      <c r="P3" s="36" t="s">
        <v>140</v>
      </c>
      <c r="Q3" s="36" t="s">
        <v>141</v>
      </c>
      <c r="R3" s="36" t="s">
        <v>148</v>
      </c>
      <c r="S3" s="36" t="s">
        <v>152</v>
      </c>
      <c r="T3" s="36" t="s">
        <v>153</v>
      </c>
      <c r="U3" s="36" t="s">
        <v>143</v>
      </c>
      <c r="V3" s="38" t="s">
        <v>144</v>
      </c>
    </row>
    <row r="4" spans="1:22" ht="30" thickTop="1" thickBot="1" x14ac:dyDescent="0.35">
      <c r="A4" s="205">
        <f>Berechnung!A4</f>
        <v>7300</v>
      </c>
      <c r="B4" s="24" t="s">
        <v>10</v>
      </c>
      <c r="C4" s="7" t="s">
        <v>150</v>
      </c>
      <c r="D4" s="21">
        <v>0.08</v>
      </c>
      <c r="E4" s="21">
        <v>0.04</v>
      </c>
      <c r="F4" s="27" t="s">
        <v>30</v>
      </c>
      <c r="G4" s="22"/>
      <c r="H4" s="21">
        <v>0.08</v>
      </c>
      <c r="I4" s="148">
        <v>0.04</v>
      </c>
      <c r="J4" s="28">
        <v>0.08</v>
      </c>
      <c r="K4" s="29">
        <v>0.04</v>
      </c>
      <c r="L4" s="30"/>
      <c r="M4" s="30"/>
      <c r="N4" s="37"/>
      <c r="O4" s="30"/>
      <c r="P4" s="30"/>
      <c r="Q4" s="30"/>
      <c r="R4" s="63">
        <v>36000</v>
      </c>
      <c r="S4" s="64">
        <v>0.01</v>
      </c>
      <c r="T4" s="39"/>
      <c r="U4" s="69">
        <f>0.073+0.01275</f>
        <v>8.5749999999999993E-2</v>
      </c>
      <c r="V4" s="69">
        <f>0.015+0.0935</f>
        <v>0.1085</v>
      </c>
    </row>
    <row r="5" spans="1:22" ht="15" thickTop="1" x14ac:dyDescent="0.3">
      <c r="A5" s="149" t="s">
        <v>3</v>
      </c>
      <c r="B5" s="41"/>
      <c r="C5" s="51"/>
      <c r="D5" s="8">
        <f>D4*A4</f>
        <v>584</v>
      </c>
      <c r="E5" s="10"/>
      <c r="F5" s="41"/>
      <c r="G5" s="51"/>
      <c r="H5" s="10"/>
      <c r="I5" s="150"/>
      <c r="J5" s="41"/>
      <c r="K5" s="48"/>
      <c r="L5" s="48"/>
      <c r="M5" s="48"/>
      <c r="N5" s="49"/>
      <c r="O5" s="49"/>
      <c r="P5" s="49"/>
      <c r="Q5" s="49"/>
      <c r="R5" s="49"/>
      <c r="S5" s="49"/>
      <c r="T5" s="49"/>
      <c r="U5" s="49"/>
      <c r="V5" s="56"/>
    </row>
    <row r="6" spans="1:22" ht="15" thickBot="1" x14ac:dyDescent="0.35">
      <c r="A6" s="151" t="s">
        <v>4</v>
      </c>
      <c r="B6" s="43"/>
      <c r="C6" s="44"/>
      <c r="D6" s="9">
        <f>D5*12</f>
        <v>7008</v>
      </c>
      <c r="E6" s="10"/>
      <c r="F6" s="43"/>
      <c r="G6" s="44"/>
      <c r="H6" s="10"/>
      <c r="I6" s="150"/>
      <c r="J6" s="43"/>
      <c r="K6" s="47"/>
      <c r="L6" s="47"/>
      <c r="M6" s="47"/>
      <c r="N6" s="47"/>
      <c r="O6" s="47"/>
      <c r="P6" s="47"/>
      <c r="Q6" s="47"/>
      <c r="R6" s="47"/>
      <c r="S6" s="47"/>
      <c r="T6" s="47"/>
      <c r="U6" s="47"/>
      <c r="V6" s="57"/>
    </row>
    <row r="7" spans="1:22" ht="15" thickTop="1" x14ac:dyDescent="0.3">
      <c r="A7" s="149" t="s">
        <v>5</v>
      </c>
      <c r="B7" s="41"/>
      <c r="C7" s="45"/>
      <c r="D7" s="51"/>
      <c r="E7" s="8">
        <f>E4*A4</f>
        <v>292</v>
      </c>
      <c r="F7" s="41"/>
      <c r="G7" s="51"/>
      <c r="H7" s="10"/>
      <c r="I7" s="150"/>
      <c r="J7" s="41"/>
      <c r="K7" s="48"/>
      <c r="L7" s="48"/>
      <c r="M7" s="48"/>
      <c r="N7" s="48"/>
      <c r="O7" s="48"/>
      <c r="P7" s="48"/>
      <c r="Q7" s="48"/>
      <c r="R7" s="48"/>
      <c r="S7" s="48"/>
      <c r="T7" s="48"/>
      <c r="U7" s="48"/>
      <c r="V7" s="58"/>
    </row>
    <row r="8" spans="1:22" ht="15" thickBot="1" x14ac:dyDescent="0.35">
      <c r="A8" s="151" t="s">
        <v>6</v>
      </c>
      <c r="B8" s="43"/>
      <c r="C8" s="43"/>
      <c r="D8" s="44"/>
      <c r="E8" s="9">
        <f>E7*12</f>
        <v>3504</v>
      </c>
      <c r="F8" s="43"/>
      <c r="G8" s="44"/>
      <c r="H8" s="10"/>
      <c r="I8" s="150"/>
      <c r="J8" s="43"/>
      <c r="K8" s="47"/>
      <c r="L8" s="47"/>
      <c r="M8" s="47"/>
      <c r="N8" s="47"/>
      <c r="O8" s="47"/>
      <c r="P8" s="47"/>
      <c r="Q8" s="47"/>
      <c r="R8" s="47"/>
      <c r="S8" s="47"/>
      <c r="T8" s="47"/>
      <c r="U8" s="47"/>
      <c r="V8" s="57"/>
    </row>
    <row r="9" spans="1:22" ht="15" thickTop="1" x14ac:dyDescent="0.3">
      <c r="A9" s="149" t="s">
        <v>2</v>
      </c>
      <c r="B9" s="41"/>
      <c r="C9" s="41"/>
      <c r="D9" s="46"/>
      <c r="E9" s="52"/>
      <c r="F9" s="41"/>
      <c r="G9" s="51"/>
      <c r="H9" s="11">
        <f>H4*A4</f>
        <v>584</v>
      </c>
      <c r="I9" s="150"/>
      <c r="J9" s="41"/>
      <c r="K9" s="48"/>
      <c r="L9" s="48"/>
      <c r="M9" s="48"/>
      <c r="N9" s="48"/>
      <c r="O9" s="48"/>
      <c r="P9" s="48"/>
      <c r="Q9" s="48"/>
      <c r="R9" s="48"/>
      <c r="S9" s="48"/>
      <c r="T9" s="48"/>
      <c r="U9" s="48"/>
      <c r="V9" s="58"/>
    </row>
    <row r="10" spans="1:22" ht="15" thickBot="1" x14ac:dyDescent="0.35">
      <c r="A10" s="151" t="s">
        <v>7</v>
      </c>
      <c r="B10" s="43"/>
      <c r="C10" s="43"/>
      <c r="D10" s="47"/>
      <c r="E10" s="47"/>
      <c r="F10" s="43"/>
      <c r="G10" s="44"/>
      <c r="H10" s="12">
        <f>H4*A4*12</f>
        <v>7008</v>
      </c>
      <c r="I10" s="150"/>
      <c r="J10" s="43"/>
      <c r="K10" s="47"/>
      <c r="L10" s="47"/>
      <c r="M10" s="47"/>
      <c r="N10" s="47"/>
      <c r="O10" s="47"/>
      <c r="P10" s="47"/>
      <c r="Q10" s="47"/>
      <c r="R10" s="47"/>
      <c r="S10" s="47"/>
      <c r="T10" s="47"/>
      <c r="U10" s="47"/>
      <c r="V10" s="57"/>
    </row>
    <row r="11" spans="1:22" ht="15" thickTop="1" x14ac:dyDescent="0.3">
      <c r="A11" s="152" t="s">
        <v>8</v>
      </c>
      <c r="B11" s="41"/>
      <c r="C11" s="41"/>
      <c r="D11" s="48"/>
      <c r="E11" s="48"/>
      <c r="F11" s="41"/>
      <c r="G11" s="46"/>
      <c r="H11" s="51"/>
      <c r="I11" s="153">
        <f>I4*A4</f>
        <v>292</v>
      </c>
      <c r="J11" s="41"/>
      <c r="K11" s="48"/>
      <c r="L11" s="48"/>
      <c r="M11" s="48"/>
      <c r="N11" s="48"/>
      <c r="O11" s="48"/>
      <c r="P11" s="48"/>
      <c r="Q11" s="48"/>
      <c r="R11" s="48"/>
      <c r="S11" s="48"/>
      <c r="T11" s="48"/>
      <c r="U11" s="48"/>
      <c r="V11" s="58"/>
    </row>
    <row r="12" spans="1:22" ht="15" thickBot="1" x14ac:dyDescent="0.35">
      <c r="A12" s="154" t="s">
        <v>9</v>
      </c>
      <c r="B12" s="59"/>
      <c r="C12" s="59"/>
      <c r="D12" s="55"/>
      <c r="E12" s="55"/>
      <c r="F12" s="59"/>
      <c r="G12" s="55"/>
      <c r="H12" s="54"/>
      <c r="I12" s="155">
        <f>I11*12</f>
        <v>3504</v>
      </c>
      <c r="J12" s="41"/>
      <c r="K12" s="48"/>
      <c r="L12" s="55"/>
      <c r="M12" s="55"/>
      <c r="N12" s="48"/>
      <c r="O12" s="48"/>
      <c r="P12" s="48"/>
      <c r="Q12" s="48"/>
      <c r="R12" s="55"/>
      <c r="S12" s="48"/>
      <c r="T12" s="48"/>
      <c r="U12" s="48"/>
      <c r="V12" s="58"/>
    </row>
    <row r="13" spans="1:22" ht="30" hidden="1" thickTop="1" thickBot="1" x14ac:dyDescent="0.35">
      <c r="A13" s="146" t="s">
        <v>151</v>
      </c>
      <c r="B13" s="41"/>
      <c r="C13" s="41"/>
      <c r="D13" s="48"/>
      <c r="E13" s="48"/>
      <c r="F13" s="41"/>
      <c r="G13" s="48"/>
      <c r="H13" s="48"/>
      <c r="I13" s="51"/>
      <c r="J13" s="74" t="s">
        <v>22</v>
      </c>
      <c r="K13" s="74" t="s">
        <v>22</v>
      </c>
      <c r="L13" s="41"/>
      <c r="M13" s="51"/>
      <c r="N13" s="91" t="s">
        <v>24</v>
      </c>
      <c r="O13" s="92" t="s">
        <v>11</v>
      </c>
      <c r="P13" s="93">
        <v>0</v>
      </c>
      <c r="Q13" s="93">
        <v>0</v>
      </c>
      <c r="R13" s="51"/>
      <c r="S13" s="98">
        <f>S4*R4</f>
        <v>360</v>
      </c>
      <c r="T13" s="100" t="str">
        <f>IF(S14="SockelB 60€:",60,IF(  T14&gt;2100,"Betrag über 2.100                      % reduzieren", " im Förderlimit"))</f>
        <v xml:space="preserve"> im Förderlimit</v>
      </c>
      <c r="U13" s="103" t="str">
        <f>IF(U14=0,"größer KV- BBG","Betrag unterhalb KV-BBG")</f>
        <v>Betrag unterhalb KV-BBG</v>
      </c>
      <c r="V13" s="104" t="str">
        <f>IF(V14=0,"größer RV-BBG","Betrag unterhalb RV-BBG")</f>
        <v>Betrag unterhalb RV-BBG</v>
      </c>
    </row>
    <row r="14" spans="1:22" ht="15.6" hidden="1" thickTop="1" thickBot="1" x14ac:dyDescent="0.35">
      <c r="A14" s="31" t="s">
        <v>13</v>
      </c>
      <c r="B14" s="66">
        <v>300</v>
      </c>
      <c r="C14" s="50"/>
      <c r="D14" s="32">
        <f>IF(B14&lt;=$D$5,B14,$D$5)</f>
        <v>300</v>
      </c>
      <c r="E14" s="32">
        <f>IF(B14&lt;=$E$7,B14,$E$7)</f>
        <v>292</v>
      </c>
      <c r="F14" s="51"/>
      <c r="G14" s="68" t="s">
        <v>24</v>
      </c>
      <c r="H14" s="41"/>
      <c r="I14" s="51"/>
      <c r="J14" s="10"/>
      <c r="K14" s="10"/>
      <c r="L14" s="41"/>
      <c r="M14" s="51"/>
      <c r="N14" s="94">
        <f>IF(N13="J",IF(S4&lt;=0.04,(S4/0.04)*175,175),0)</f>
        <v>43.75</v>
      </c>
      <c r="O14" s="95">
        <f>IF(O13="J",200,)</f>
        <v>0</v>
      </c>
      <c r="P14" s="95">
        <f>P13*185</f>
        <v>0</v>
      </c>
      <c r="Q14" s="95">
        <f>Q13*300</f>
        <v>0</v>
      </c>
      <c r="R14" s="51"/>
      <c r="S14" s="99">
        <f>IF(  ((S4*R4)-N14-O14-P14-Q14)&lt;60,"SockelB 60€:",((S4*R4)-N14-O14-P14-Q14))</f>
        <v>316.25</v>
      </c>
      <c r="T14" s="101">
        <f xml:space="preserve">   IF(S14&lt;&gt;"SockelB 60€:",                      S13+(N14+O14+P14+Q14),60+  (N14+O14+P14+Q14))</f>
        <v>403.75</v>
      </c>
      <c r="U14" s="105">
        <f xml:space="preserve">   IF(                         (0.68503937007874 *$A$4) - ($V$2/12)&gt;0,(0.68503937007874 *$A$4) - ($V$2/12),0)</f>
        <v>2000.7874015748021</v>
      </c>
      <c r="V14" s="106">
        <f>IF(($A$4)-($V$2/12)&gt;0,($A$4)-($V$2/12),0)</f>
        <v>4300</v>
      </c>
    </row>
    <row r="15" spans="1:22" ht="15.6" hidden="1" thickTop="1" thickBot="1" x14ac:dyDescent="0.35">
      <c r="A15" s="34" t="s">
        <v>14</v>
      </c>
      <c r="B15" s="70">
        <v>1000</v>
      </c>
      <c r="C15" s="67">
        <v>0</v>
      </c>
      <c r="D15" s="9">
        <f>IF(B15&lt;=$D$6,B15,$D$6)</f>
        <v>1000</v>
      </c>
      <c r="E15" s="9">
        <f>IF(B15&lt;=$E$8,B15,$E$8)</f>
        <v>1000</v>
      </c>
      <c r="F15" s="33" t="str">
        <f>IF(G14="J",IF(C15&gt;=240,IF(C15&lt;=480,0.3*C15,0.3*480),"Keine Förderung"),"Keine Förderung")</f>
        <v>Keine Förderung</v>
      </c>
      <c r="G15" s="53"/>
      <c r="H15" s="55"/>
      <c r="I15" s="54"/>
      <c r="J15" s="9">
        <f>IF($A16="40b Betrag überschritten",D$6-2148,$D$6-B15)</f>
        <v>6008</v>
      </c>
      <c r="K15" s="9">
        <f>IF($A16="§ 40b Altzusage Betrag überschritten",$E$8-1752,$E$8-B15)</f>
        <v>2504</v>
      </c>
      <c r="L15" s="41"/>
      <c r="M15" s="41"/>
      <c r="N15" s="41"/>
      <c r="O15" s="41"/>
      <c r="P15" s="41"/>
      <c r="Q15" s="41"/>
      <c r="R15" s="41"/>
      <c r="S15" s="41"/>
      <c r="T15" s="51"/>
      <c r="U15" s="107" t="str">
        <f>IF(U16&gt;0,"Ersparnis","keine Ersparnis")</f>
        <v>Ersparnis</v>
      </c>
      <c r="V15" s="108" t="str">
        <f>IF(V16&gt;0,"Ersparnis","keine Ersparnis")</f>
        <v>Ersparnis</v>
      </c>
    </row>
    <row r="16" spans="1:22" ht="26.25" hidden="1" customHeight="1" thickTop="1" thickBot="1" x14ac:dyDescent="0.35">
      <c r="A16" s="62" t="s">
        <v>19</v>
      </c>
      <c r="B16" s="41"/>
      <c r="C16" s="41"/>
      <c r="D16" s="48"/>
      <c r="E16" s="48"/>
      <c r="F16" s="41"/>
      <c r="G16" s="48"/>
      <c r="H16" s="48"/>
      <c r="I16" s="41"/>
      <c r="J16" s="76"/>
      <c r="K16" s="77"/>
      <c r="L16" s="48"/>
      <c r="M16" s="41"/>
      <c r="N16" s="41"/>
      <c r="O16" s="41"/>
      <c r="P16" s="41"/>
      <c r="Q16" s="41"/>
      <c r="R16" s="41"/>
      <c r="S16" s="41"/>
      <c r="T16" s="51"/>
      <c r="U16" s="109">
        <f>IF($B$14&gt;0,IF(   U14 &gt;= $B$14,$B$14*U4, U14*U4 ),"kein Betrag" )</f>
        <v>25.724999999999998</v>
      </c>
      <c r="V16" s="110">
        <f>IF($B$14&gt;0,IF(   V14 &gt;= $B$14,$B$14*V4, V14*V4 ),"kein Betrag" )</f>
        <v>32.549999999999997</v>
      </c>
    </row>
    <row r="17" spans="1:22" ht="15.6" hidden="1" thickTop="1" thickBot="1" x14ac:dyDescent="0.35">
      <c r="A17" s="31" t="s">
        <v>13</v>
      </c>
      <c r="B17" s="66">
        <v>0</v>
      </c>
      <c r="C17" s="50"/>
      <c r="D17" s="32">
        <f>IF(B17&lt;=$D$5,B17,$D$5)</f>
        <v>0</v>
      </c>
      <c r="E17" s="32">
        <f>IF(B17&lt;=$E$7,B17,$E$7)</f>
        <v>0</v>
      </c>
      <c r="F17" s="51"/>
      <c r="G17" s="71" t="s">
        <v>11</v>
      </c>
      <c r="H17" s="32">
        <f>IF($B17&lt;=H9,$B17,H9)</f>
        <v>0</v>
      </c>
      <c r="I17" s="32">
        <f>IF($B17&lt;=I11,$B17,I11)</f>
        <v>0</v>
      </c>
      <c r="J17" s="76"/>
      <c r="K17" s="77"/>
      <c r="L17" s="48"/>
      <c r="M17" s="41"/>
      <c r="N17" s="41"/>
      <c r="O17" s="41"/>
      <c r="P17" s="41"/>
      <c r="Q17" s="41"/>
      <c r="R17" s="41"/>
      <c r="S17" s="41"/>
      <c r="T17" s="51"/>
      <c r="U17" s="403" t="s">
        <v>145</v>
      </c>
      <c r="V17" s="102">
        <v>0.15</v>
      </c>
    </row>
    <row r="18" spans="1:22" ht="15.6" hidden="1" thickTop="1" thickBot="1" x14ac:dyDescent="0.35">
      <c r="A18" s="34" t="s">
        <v>14</v>
      </c>
      <c r="B18" s="70">
        <v>0</v>
      </c>
      <c r="C18" s="67">
        <v>0</v>
      </c>
      <c r="D18" s="9">
        <f>IF(B18&lt;=$D$6,B18,$D$6)</f>
        <v>0</v>
      </c>
      <c r="E18" s="9">
        <f>IF(B18&lt;=$E$8,B18,$E$8)</f>
        <v>0</v>
      </c>
      <c r="F18" s="35" t="str">
        <f>IF(G17="J",IF(C18&gt;=240,IF(C18&lt;=480,0.3*C18,0.3*480),"Keine Förderung"),"Keine Förderung")</f>
        <v>Keine Förderung</v>
      </c>
      <c r="G18" s="72"/>
      <c r="H18" s="9">
        <f>IF($B18&lt;=H10,$B18,H10)</f>
        <v>0</v>
      </c>
      <c r="I18" s="9">
        <f>IF($B18&lt;=I12,$B18,I12)</f>
        <v>0</v>
      </c>
      <c r="J18" s="75">
        <f>IF($A19="40b Betrag überschritten",D$6-2148,$D$6-B18)</f>
        <v>7008</v>
      </c>
      <c r="K18" s="75">
        <f>IF($A19="§ 40b Altzusage Betrag überschritten",$E$8-1752,$E$8-B18)</f>
        <v>3504</v>
      </c>
      <c r="L18" s="53"/>
      <c r="M18" s="59"/>
      <c r="N18" s="59"/>
      <c r="O18" s="59"/>
      <c r="P18" s="59"/>
      <c r="Q18" s="55"/>
      <c r="R18" s="59"/>
      <c r="S18" s="59"/>
      <c r="T18" s="54"/>
      <c r="U18" s="404"/>
      <c r="V18" s="75">
        <f>IF(U17="Nur SV-Ersparnis ",(U16+V16),(V17*$B$14))</f>
        <v>58.274999999999991</v>
      </c>
    </row>
    <row r="19" spans="1:22" ht="15.6" hidden="1" thickTop="1" thickBot="1" x14ac:dyDescent="0.35">
      <c r="A19" s="86" t="s">
        <v>154</v>
      </c>
      <c r="B19" s="113"/>
      <c r="C19" s="41"/>
      <c r="D19" s="61"/>
      <c r="E19" s="52"/>
      <c r="F19" s="52"/>
      <c r="G19" s="82"/>
      <c r="H19" s="61"/>
      <c r="I19" s="51"/>
      <c r="J19" s="90"/>
      <c r="K19" s="89"/>
      <c r="L19" s="41"/>
      <c r="M19" s="48"/>
      <c r="N19" s="41"/>
      <c r="O19" s="41"/>
      <c r="P19" s="41"/>
      <c r="Q19" s="41"/>
      <c r="R19" s="41"/>
      <c r="S19" s="41"/>
      <c r="T19" s="41"/>
      <c r="U19" s="41"/>
      <c r="V19" s="97"/>
    </row>
    <row r="20" spans="1:22" ht="15.6" hidden="1"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15.6" hidden="1" thickTop="1" thickBot="1" x14ac:dyDescent="0.35">
      <c r="A21" s="84" t="s">
        <v>23</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hidden="1"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hidden="1"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30" hidden="1" thickTop="1" thickBot="1" x14ac:dyDescent="0.35">
      <c r="A24" s="112" t="s">
        <v>156</v>
      </c>
      <c r="B24" s="80">
        <v>0</v>
      </c>
      <c r="C24" s="79">
        <v>0</v>
      </c>
      <c r="D24" s="53"/>
      <c r="E24" s="60"/>
      <c r="F24" s="81" t="str">
        <f>IF(G24="J",IF(C24&gt;=240,IF(C24&lt;=480,0.3*C24,0.3*480),"Keine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30" hidden="1" thickTop="1" thickBot="1" x14ac:dyDescent="0.35">
      <c r="A25" s="139" t="s">
        <v>157</v>
      </c>
      <c r="B25" s="80">
        <v>16000</v>
      </c>
      <c r="C25" s="121"/>
      <c r="D25" s="49"/>
      <c r="E25" s="49"/>
      <c r="F25" s="49"/>
      <c r="G25" s="49"/>
      <c r="H25" s="48"/>
      <c r="I25" s="48"/>
      <c r="J25" s="48"/>
      <c r="K25" s="125"/>
      <c r="L25" s="49"/>
      <c r="M25" s="41"/>
      <c r="N25" s="41"/>
      <c r="O25" s="41"/>
      <c r="P25" s="41"/>
      <c r="Q25" s="41"/>
      <c r="R25" s="41"/>
      <c r="S25" s="41"/>
      <c r="T25" s="41"/>
      <c r="U25" s="41"/>
      <c r="V25" s="97"/>
    </row>
    <row r="26" spans="1:22" ht="15.6" hidden="1" thickTop="1" thickBot="1" x14ac:dyDescent="0.35">
      <c r="A26" s="138" t="s">
        <v>27</v>
      </c>
      <c r="B26" s="120">
        <v>41122</v>
      </c>
      <c r="C26" s="122"/>
      <c r="D26" s="48"/>
      <c r="E26" s="48"/>
      <c r="F26" s="48"/>
      <c r="G26" s="48"/>
      <c r="H26" s="48"/>
      <c r="I26" s="48"/>
      <c r="J26" s="48"/>
      <c r="K26" s="48"/>
      <c r="L26" s="48"/>
      <c r="M26" s="41"/>
      <c r="N26" s="41"/>
      <c r="O26" s="41"/>
      <c r="P26" s="41"/>
      <c r="Q26" s="41"/>
      <c r="R26" s="41"/>
      <c r="S26" s="41"/>
      <c r="T26" s="41"/>
      <c r="U26" s="41"/>
      <c r="V26" s="97"/>
    </row>
    <row r="27" spans="1:22" ht="15.6" hidden="1" thickTop="1" thickBot="1" x14ac:dyDescent="0.35">
      <c r="A27" s="138" t="s">
        <v>28</v>
      </c>
      <c r="B27" s="120">
        <v>42948</v>
      </c>
      <c r="C27" s="122"/>
      <c r="D27" s="48"/>
      <c r="E27" s="48"/>
      <c r="F27" s="48"/>
      <c r="G27" s="48"/>
      <c r="H27" s="48"/>
      <c r="I27" s="48"/>
      <c r="J27" s="48"/>
      <c r="K27" s="48"/>
      <c r="L27" s="48"/>
      <c r="M27" s="41"/>
      <c r="N27" s="41"/>
      <c r="O27" s="41"/>
      <c r="P27" s="41"/>
      <c r="Q27" s="41"/>
      <c r="R27" s="41"/>
      <c r="S27" s="41"/>
      <c r="T27" s="41"/>
      <c r="U27" s="41"/>
      <c r="V27" s="97"/>
    </row>
    <row r="28" spans="1:22" ht="15.6" hidden="1" thickTop="1" thickBot="1" x14ac:dyDescent="0.35">
      <c r="A28" s="138" t="s">
        <v>31</v>
      </c>
      <c r="B28" s="128">
        <f>IF((DATEDIF($B$26,$B$27,"y")*12)+(DATEDIF($B$26,$B$27,"ym")+((DATEDIF($B$26,$B$27,"md")/30)))&lt;=120,(DATEDIF($B$26,$B$27,"y")*12)+(DATEDIF($B$26,$B$27,"ym")+((DATEDIF($B$26,$B$27,"md")/30))),120)</f>
        <v>60</v>
      </c>
      <c r="C28" s="122"/>
      <c r="D28" s="48"/>
      <c r="E28" s="48"/>
      <c r="F28" s="48"/>
      <c r="G28" s="48"/>
      <c r="H28" s="48"/>
      <c r="I28" s="48"/>
      <c r="J28" s="48"/>
      <c r="K28" s="48"/>
      <c r="L28" s="48"/>
      <c r="M28" s="41"/>
      <c r="N28" s="41"/>
      <c r="O28" s="41"/>
      <c r="P28" s="41"/>
      <c r="Q28" s="41"/>
      <c r="R28" s="41"/>
      <c r="S28" s="41"/>
      <c r="T28" s="41"/>
      <c r="U28" s="41"/>
      <c r="V28" s="97"/>
    </row>
    <row r="29" spans="1:22" ht="15.6" hidden="1" thickTop="1" thickBot="1" x14ac:dyDescent="0.35">
      <c r="A29" s="144" t="str">
        <f>CONCATENATE("Beschäftigungszeitraum beträgt:    ",DATEDIF($B$26,$B$27,"y")," Jahr(e)  ",DATEDIF($B$26,$B$27,"ym")," Monate ",DATEDIF($B$26,$B$27,"MD")," Tage"," -&gt; Jahresfaktor:")</f>
        <v>Beschäftigungszeitraum beträgt:    5 Jahr(e)  0 Monate 0 Tage -&gt; Jahresfaktor:</v>
      </c>
      <c r="B29" s="141">
        <f>DATEDIF($B$26,$B$27,"y")</f>
        <v>5</v>
      </c>
      <c r="C29" s="59"/>
      <c r="D29" s="55"/>
      <c r="E29" s="55"/>
      <c r="F29" s="55"/>
      <c r="G29" s="60"/>
      <c r="H29" s="123">
        <f>IF(B29*I12&lt;= 10*I29,B29*I12,10*I29)</f>
        <v>17520</v>
      </c>
      <c r="I29" s="123">
        <f>B25</f>
        <v>16000</v>
      </c>
      <c r="J29" s="124">
        <f>IF(B25&gt;=H29,0,I12*B29-B25)</f>
        <v>1520</v>
      </c>
      <c r="K29" s="126"/>
      <c r="L29" s="75">
        <f>IF(J29=0,B25-H29,)</f>
        <v>0</v>
      </c>
      <c r="M29" s="53"/>
      <c r="N29" s="55"/>
      <c r="O29" s="59"/>
      <c r="P29" s="59"/>
      <c r="Q29" s="59"/>
      <c r="R29" s="59"/>
      <c r="S29" s="59"/>
      <c r="T29" s="59"/>
      <c r="U29" s="59"/>
      <c r="V29" s="111"/>
    </row>
    <row r="30" spans="1:22" ht="58.8" hidden="1" thickTop="1" thickBot="1" x14ac:dyDescent="0.35">
      <c r="A30" s="142" t="s">
        <v>158</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hidden="1" thickTop="1" thickBot="1" x14ac:dyDescent="0.35">
      <c r="A31" s="140" t="s">
        <v>32</v>
      </c>
      <c r="B31" s="120">
        <v>42401</v>
      </c>
      <c r="C31" s="41"/>
      <c r="D31" s="48"/>
      <c r="E31" s="48"/>
      <c r="F31" s="48"/>
      <c r="G31" s="48"/>
      <c r="H31" s="48"/>
      <c r="I31" s="48"/>
      <c r="J31" s="48"/>
      <c r="K31" s="48"/>
      <c r="L31" s="48"/>
      <c r="M31" s="41"/>
      <c r="N31" s="41"/>
      <c r="O31" s="41"/>
      <c r="P31" s="41"/>
      <c r="Q31" s="41"/>
      <c r="R31" s="41"/>
      <c r="S31" s="41"/>
      <c r="T31" s="41"/>
      <c r="U31" s="41"/>
      <c r="V31" s="97"/>
    </row>
    <row r="32" spans="1:22" ht="15.6" hidden="1" thickTop="1" thickBot="1" x14ac:dyDescent="0.35">
      <c r="A32" s="140" t="s">
        <v>29</v>
      </c>
      <c r="B32" s="120">
        <v>42735</v>
      </c>
      <c r="C32" s="41"/>
      <c r="D32" s="48"/>
      <c r="E32" s="48"/>
      <c r="F32" s="48"/>
      <c r="G32" s="48"/>
      <c r="H32" s="48"/>
      <c r="I32" s="48"/>
      <c r="J32" s="48"/>
      <c r="K32" s="48"/>
      <c r="L32" s="48"/>
      <c r="M32" s="41"/>
      <c r="N32" s="41"/>
      <c r="O32" s="41"/>
      <c r="P32" s="41"/>
      <c r="Q32" s="41"/>
      <c r="R32" s="41"/>
      <c r="S32" s="41"/>
      <c r="T32" s="41"/>
      <c r="U32" s="41"/>
      <c r="V32" s="97"/>
    </row>
    <row r="33" spans="1:22" ht="15.6" hidden="1" thickTop="1" thickBot="1" x14ac:dyDescent="0.35">
      <c r="A33" s="140" t="s">
        <v>31</v>
      </c>
      <c r="B33" s="128">
        <f>IF((DATEDIF($B$31,$B$32,"y")*12)+(DATEDIF($B$31,$B$32,"ym")+((DATEDIF($B$31,$B$32,"md")/30)))&lt;=120,(DATEDIF($B$31,$B$32,"y")*12)+(DATEDIF($B$31,$B$32,"ym")+((DATEDIF($B$31,$B$32,"md")/30))),120)</f>
        <v>11</v>
      </c>
      <c r="C33" s="41"/>
      <c r="D33" s="48"/>
      <c r="E33" s="48"/>
      <c r="F33" s="48"/>
      <c r="G33" s="48"/>
      <c r="H33" s="48"/>
      <c r="I33" s="48"/>
      <c r="J33" s="48"/>
      <c r="K33" s="48"/>
      <c r="L33" s="48"/>
      <c r="M33" s="41"/>
      <c r="N33" s="41"/>
      <c r="O33" s="41"/>
      <c r="P33" s="41"/>
      <c r="Q33" s="41"/>
      <c r="R33" s="41"/>
      <c r="S33" s="41"/>
      <c r="T33" s="41"/>
      <c r="U33" s="41"/>
      <c r="V33" s="97"/>
    </row>
    <row r="34" spans="1:22" ht="15.6" hidden="1" thickTop="1" thickBot="1" x14ac:dyDescent="0.35">
      <c r="A34" s="143" t="str">
        <f>CONCATENATE("Beschäftigungszeitraum beträgt:    ",DATEDIF($B$31,$B$32,"y")," Jahr(e)  ",DATEDIF($B$31,$B$32,"ym")," Monate ",DATEDIF($B$31,$B$32,"MD")," Tage"," -&gt; Jahresfaktor:")</f>
        <v>Beschäftigungszeitraum beträgt:    0 Jahr(e)  10 Monate 30 Tage -&gt; Jahresfaktor:</v>
      </c>
      <c r="B34" s="129">
        <f>DATEDIF($B$31,$B$32,"y")</f>
        <v>0</v>
      </c>
      <c r="C34" s="83"/>
      <c r="D34" s="134"/>
      <c r="E34" s="134"/>
      <c r="F34" s="134"/>
      <c r="G34" s="135"/>
      <c r="H34" s="123">
        <f>IF(B34*H10&lt;= 10*B30,B34*H10,10*B30)</f>
        <v>0</v>
      </c>
      <c r="I34" s="135"/>
      <c r="J34" s="124">
        <f>IF(B30&gt;=H34,0,H10*B34-B30)</f>
        <v>0</v>
      </c>
      <c r="K34" s="135"/>
      <c r="L34" s="75">
        <f>IF(J34=0,B30-H34,)</f>
        <v>0</v>
      </c>
      <c r="M34" s="83"/>
      <c r="N34" s="83"/>
      <c r="O34" s="83"/>
      <c r="P34" s="83"/>
      <c r="Q34" s="83"/>
      <c r="R34" s="83"/>
      <c r="S34" s="83"/>
      <c r="T34" s="83"/>
      <c r="U34" s="83"/>
      <c r="V34" s="136"/>
    </row>
    <row r="408" spans="5:5" x14ac:dyDescent="0.3">
      <c r="E408">
        <v>3</v>
      </c>
    </row>
  </sheetData>
  <sheetProtection sheet="1" objects="1" scenarios="1"/>
  <mergeCells count="1">
    <mergeCell ref="U17:U18"/>
  </mergeCells>
  <dataValidations count="2">
    <dataValidation type="list" showInputMessage="1" showErrorMessage="1" promptTitle=" AG-SV Beitrag" prompt="AG-SV-Zusatz-Beitrag - freiwillig %-Satz ?" sqref="U17" xr:uid="{00000000-0002-0000-0000-000000000000}">
      <formula1>"SV-Beitrag freiwillig %-Satz, Nur SV-Ersparnis "</formula1>
    </dataValidation>
    <dataValidation type="list" showInputMessage="1" showErrorMessage="1" sqref="G14 G17 N13:O13 G24 G20" xr:uid="{00000000-0002-0000-0000-000001000000}">
      <formula1>"J, N"</formula1>
    </dataValidation>
  </dataValidations>
  <pageMargins left="0.70866141732283472" right="0.70866141732283472" top="0.78740157480314965" bottom="0.78740157480314965" header="0.31496062992125984" footer="0.31496062992125984"/>
  <pageSetup paperSize="9"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08"/>
  <sheetViews>
    <sheetView topLeftCell="A13" zoomScale="95" zoomScaleNormal="95" workbookViewId="0">
      <selection activeCell="F15" sqref="F15"/>
    </sheetView>
  </sheetViews>
  <sheetFormatPr baseColWidth="10" defaultRowHeight="14.4" x14ac:dyDescent="0.3"/>
  <cols>
    <col min="1" max="1" width="44.88671875" customWidth="1"/>
    <col min="2" max="2" width="11.33203125" bestFit="1" customWidth="1"/>
    <col min="3" max="3" width="16.21875" customWidth="1"/>
    <col min="4" max="4" width="9.88671875" bestFit="1" customWidth="1"/>
    <col min="5" max="5" width="8.6640625" bestFit="1" customWidth="1"/>
    <col min="6" max="6" width="18.6640625" customWidth="1"/>
    <col min="7" max="7" width="17" customWidth="1"/>
    <col min="8" max="8" width="10.33203125" hidden="1" customWidth="1"/>
    <col min="9" max="9" width="1.109375" hidden="1" customWidth="1"/>
    <col min="10" max="11" width="10.5546875" bestFit="1" customWidth="1"/>
    <col min="12" max="12" width="9.88671875" hidden="1" customWidth="1"/>
    <col min="13" max="13" width="10" hidden="1" customWidth="1"/>
    <col min="14" max="14" width="10.109375" hidden="1" customWidth="1"/>
    <col min="15" max="15" width="12.109375" hidden="1" customWidth="1"/>
    <col min="16" max="16" width="10.44140625" hidden="1" customWidth="1"/>
    <col min="17" max="17" width="12.109375" hidden="1" customWidth="1"/>
    <col min="18" max="18" width="12" hidden="1" customWidth="1"/>
    <col min="19" max="19" width="12.5546875" hidden="1" customWidth="1"/>
    <col min="20" max="20" width="14.5546875" hidden="1" customWidth="1"/>
    <col min="21" max="22" width="15.88671875" hidden="1" customWidth="1"/>
  </cols>
  <sheetData>
    <row r="1" spans="1:23" ht="18.600000000000001" thickBot="1" x14ac:dyDescent="0.4">
      <c r="A1" s="5" t="s">
        <v>0</v>
      </c>
      <c r="B1" s="5">
        <f>Berechnung!B1</f>
        <v>2023</v>
      </c>
      <c r="C1" s="1"/>
    </row>
    <row r="2" spans="1:23" ht="40.65" hidden="1" customHeight="1" thickTop="1" thickBot="1" x14ac:dyDescent="0.4">
      <c r="B2" s="4"/>
      <c r="D2" s="180">
        <f>ROUND(0.08*A4*12,2)</f>
        <v>7008</v>
      </c>
      <c r="E2" s="180">
        <f>ROUND(0.04*A4*12,2)</f>
        <v>3504</v>
      </c>
      <c r="T2" s="1"/>
      <c r="U2" s="6" t="s">
        <v>147</v>
      </c>
      <c r="V2" s="65">
        <v>36000</v>
      </c>
    </row>
    <row r="3" spans="1:23" ht="117.6" customHeight="1" thickBot="1" x14ac:dyDescent="0.35">
      <c r="A3" s="15" t="s">
        <v>146</v>
      </c>
      <c r="B3" s="158" t="str">
        <f>Berechnung!B3</f>
        <v>KV-BBG  4987,5 €</v>
      </c>
      <c r="C3" s="26" t="s">
        <v>229</v>
      </c>
      <c r="D3" s="158" t="str">
        <f>CONCATENATE("steuerfrei ",D2)</f>
        <v>steuerfrei 7008</v>
      </c>
      <c r="E3" s="158" t="str">
        <f>CONCATENATE("SV-Frei ",E2)</f>
        <v>SV-Frei 3504</v>
      </c>
      <c r="F3" s="26" t="s">
        <v>149</v>
      </c>
      <c r="G3" s="26" t="s">
        <v>225</v>
      </c>
      <c r="H3" s="26" t="s">
        <v>15</v>
      </c>
      <c r="I3" s="26" t="s">
        <v>17</v>
      </c>
      <c r="J3" s="26" t="s">
        <v>20</v>
      </c>
      <c r="K3" s="26" t="s">
        <v>21</v>
      </c>
      <c r="L3" s="25" t="s">
        <v>25</v>
      </c>
      <c r="M3" s="25" t="s">
        <v>26</v>
      </c>
      <c r="N3" s="36" t="s">
        <v>139</v>
      </c>
      <c r="O3" s="36" t="s">
        <v>142</v>
      </c>
      <c r="P3" s="36" t="s">
        <v>140</v>
      </c>
      <c r="Q3" s="36" t="s">
        <v>141</v>
      </c>
      <c r="R3" s="36" t="s">
        <v>148</v>
      </c>
      <c r="S3" s="36" t="s">
        <v>152</v>
      </c>
      <c r="T3" s="36" t="s">
        <v>153</v>
      </c>
      <c r="U3" s="36" t="s">
        <v>143</v>
      </c>
      <c r="V3" s="38" t="s">
        <v>144</v>
      </c>
    </row>
    <row r="4" spans="1:23" ht="48" customHeight="1" thickTop="1" thickBot="1" x14ac:dyDescent="0.35">
      <c r="A4" s="181">
        <f>Berechnung!A4</f>
        <v>7300</v>
      </c>
      <c r="B4" s="182" t="s">
        <v>10</v>
      </c>
      <c r="C4" s="183" t="s">
        <v>150</v>
      </c>
      <c r="D4" s="184">
        <v>0.08</v>
      </c>
      <c r="E4" s="184">
        <v>0.04</v>
      </c>
      <c r="F4" s="185" t="s">
        <v>224</v>
      </c>
      <c r="G4" s="401" t="s">
        <v>163</v>
      </c>
      <c r="H4" s="186">
        <v>0.08</v>
      </c>
      <c r="I4" s="184">
        <v>0.04</v>
      </c>
      <c r="J4" s="187">
        <v>0.08</v>
      </c>
      <c r="K4" s="188">
        <v>0.04</v>
      </c>
      <c r="L4" s="37"/>
      <c r="M4" s="30"/>
      <c r="N4" s="37"/>
      <c r="O4" s="30"/>
      <c r="P4" s="30"/>
      <c r="Q4" s="30"/>
      <c r="R4" s="63">
        <v>36000</v>
      </c>
      <c r="S4" s="64">
        <v>0.01</v>
      </c>
      <c r="T4" s="39"/>
      <c r="U4" s="69">
        <f>0.073+0.01275</f>
        <v>8.5749999999999993E-2</v>
      </c>
      <c r="V4" s="69">
        <f>0.015+0.0935</f>
        <v>0.1085</v>
      </c>
    </row>
    <row r="5" spans="1:23" ht="15" hidden="1" thickTop="1" x14ac:dyDescent="0.3">
      <c r="A5" s="17" t="s">
        <v>3</v>
      </c>
      <c r="B5" s="41"/>
      <c r="C5" s="42"/>
      <c r="D5" s="8">
        <f>D4*A4</f>
        <v>584</v>
      </c>
      <c r="E5" s="10"/>
      <c r="F5" s="41"/>
      <c r="G5" s="42"/>
      <c r="H5" s="10"/>
      <c r="I5" s="10"/>
      <c r="J5" s="41"/>
      <c r="K5" s="48"/>
      <c r="L5" s="48"/>
      <c r="M5" s="48"/>
      <c r="N5" s="49"/>
      <c r="O5" s="49"/>
      <c r="P5" s="49"/>
      <c r="Q5" s="49"/>
      <c r="R5" s="49"/>
      <c r="S5" s="49"/>
      <c r="T5" s="49"/>
      <c r="U5" s="49"/>
      <c r="V5" s="56"/>
    </row>
    <row r="6" spans="1:23" ht="15" hidden="1" thickBot="1" x14ac:dyDescent="0.35">
      <c r="A6" s="18" t="s">
        <v>4</v>
      </c>
      <c r="B6" s="43"/>
      <c r="C6" s="44"/>
      <c r="D6" s="9">
        <f>D5*12</f>
        <v>7008</v>
      </c>
      <c r="E6" s="10"/>
      <c r="F6" s="43"/>
      <c r="G6" s="44"/>
      <c r="H6" s="10"/>
      <c r="I6" s="10"/>
      <c r="J6" s="43"/>
      <c r="K6" s="47"/>
      <c r="L6" s="47"/>
      <c r="M6" s="47"/>
      <c r="N6" s="47"/>
      <c r="O6" s="47"/>
      <c r="P6" s="47"/>
      <c r="Q6" s="47"/>
      <c r="R6" s="47"/>
      <c r="S6" s="47"/>
      <c r="T6" s="47"/>
      <c r="U6" s="47"/>
      <c r="V6" s="57"/>
    </row>
    <row r="7" spans="1:23" ht="15" hidden="1" thickTop="1" x14ac:dyDescent="0.3">
      <c r="A7" s="17" t="s">
        <v>5</v>
      </c>
      <c r="B7" s="41"/>
      <c r="C7" s="45"/>
      <c r="D7" s="42"/>
      <c r="E7" s="8">
        <f>E4*A4</f>
        <v>292</v>
      </c>
      <c r="F7" s="41"/>
      <c r="G7" s="42"/>
      <c r="H7" s="10"/>
      <c r="I7" s="10"/>
      <c r="J7" s="41"/>
      <c r="K7" s="48"/>
      <c r="L7" s="48"/>
      <c r="M7" s="48"/>
      <c r="N7" s="48"/>
      <c r="O7" s="48"/>
      <c r="P7" s="48"/>
      <c r="Q7" s="48"/>
      <c r="R7" s="48"/>
      <c r="S7" s="48"/>
      <c r="T7" s="48"/>
      <c r="U7" s="48"/>
      <c r="V7" s="58"/>
    </row>
    <row r="8" spans="1:23" ht="15" hidden="1" thickBot="1" x14ac:dyDescent="0.35">
      <c r="A8" s="18" t="s">
        <v>6</v>
      </c>
      <c r="B8" s="43"/>
      <c r="C8" s="43"/>
      <c r="D8" s="44"/>
      <c r="E8" s="9">
        <f>E7*12</f>
        <v>3504</v>
      </c>
      <c r="F8" s="43"/>
      <c r="G8" s="44"/>
      <c r="H8" s="10"/>
      <c r="I8" s="10"/>
      <c r="J8" s="43"/>
      <c r="K8" s="47"/>
      <c r="L8" s="47"/>
      <c r="M8" s="47"/>
      <c r="N8" s="47"/>
      <c r="O8" s="47"/>
      <c r="P8" s="47"/>
      <c r="Q8" s="47"/>
      <c r="R8" s="47"/>
      <c r="S8" s="47"/>
      <c r="T8" s="47"/>
      <c r="U8" s="47"/>
      <c r="V8" s="57"/>
    </row>
    <row r="9" spans="1:23" ht="15" hidden="1" thickTop="1" x14ac:dyDescent="0.3">
      <c r="A9" s="17" t="s">
        <v>2</v>
      </c>
      <c r="B9" s="41"/>
      <c r="C9" s="41"/>
      <c r="D9" s="46"/>
      <c r="E9" s="52"/>
      <c r="F9" s="41"/>
      <c r="G9" s="42"/>
      <c r="H9" s="11">
        <f>H4*A4</f>
        <v>584</v>
      </c>
      <c r="I9" s="10"/>
      <c r="J9" s="41"/>
      <c r="K9" s="48"/>
      <c r="L9" s="48"/>
      <c r="M9" s="48"/>
      <c r="N9" s="48"/>
      <c r="O9" s="48"/>
      <c r="P9" s="48"/>
      <c r="Q9" s="48"/>
      <c r="R9" s="48"/>
      <c r="S9" s="48"/>
      <c r="T9" s="48"/>
      <c r="U9" s="48"/>
      <c r="V9" s="58"/>
    </row>
    <row r="10" spans="1:23" ht="15" hidden="1" thickBot="1" x14ac:dyDescent="0.35">
      <c r="A10" s="18" t="s">
        <v>7</v>
      </c>
      <c r="B10" s="43"/>
      <c r="C10" s="43"/>
      <c r="D10" s="47"/>
      <c r="E10" s="47"/>
      <c r="F10" s="43"/>
      <c r="G10" s="44"/>
      <c r="H10" s="12">
        <f>H4*A4*12</f>
        <v>7008</v>
      </c>
      <c r="I10" s="10"/>
      <c r="J10" s="43"/>
      <c r="K10" s="47"/>
      <c r="L10" s="47"/>
      <c r="M10" s="47"/>
      <c r="N10" s="47"/>
      <c r="O10" s="47"/>
      <c r="P10" s="47"/>
      <c r="Q10" s="47"/>
      <c r="R10" s="47"/>
      <c r="S10" s="47"/>
      <c r="T10" s="47"/>
      <c r="U10" s="47"/>
      <c r="V10" s="57"/>
    </row>
    <row r="11" spans="1:23" ht="29.4" hidden="1" thickTop="1" x14ac:dyDescent="0.3">
      <c r="A11" s="19" t="s">
        <v>8</v>
      </c>
      <c r="B11" s="41"/>
      <c r="C11" s="41"/>
      <c r="D11" s="48"/>
      <c r="E11" s="48"/>
      <c r="F11" s="41"/>
      <c r="G11" s="46"/>
      <c r="H11" s="42"/>
      <c r="I11" s="13">
        <f>I4*A4</f>
        <v>292</v>
      </c>
      <c r="J11" s="41"/>
      <c r="K11" s="48"/>
      <c r="L11" s="48"/>
      <c r="M11" s="48"/>
      <c r="N11" s="48"/>
      <c r="O11" s="48"/>
      <c r="P11" s="48"/>
      <c r="Q11" s="48"/>
      <c r="R11" s="48"/>
      <c r="S11" s="48"/>
      <c r="T11" s="48"/>
      <c r="U11" s="48"/>
      <c r="V11" s="58"/>
    </row>
    <row r="12" spans="1:23" ht="29.4" hidden="1" thickBot="1" x14ac:dyDescent="0.35">
      <c r="A12" s="20" t="s">
        <v>9</v>
      </c>
      <c r="B12" s="41"/>
      <c r="C12" s="41"/>
      <c r="D12" s="48"/>
      <c r="E12" s="48"/>
      <c r="F12" s="41"/>
      <c r="G12" s="48"/>
      <c r="H12" s="54"/>
      <c r="I12" s="14">
        <f>I11*12</f>
        <v>3504</v>
      </c>
      <c r="J12" s="41"/>
      <c r="K12" s="48"/>
      <c r="L12" s="55"/>
      <c r="M12" s="55"/>
      <c r="N12" s="48"/>
      <c r="O12" s="48"/>
      <c r="P12" s="48"/>
      <c r="Q12" s="48"/>
      <c r="R12" s="55"/>
      <c r="S12" s="48"/>
      <c r="T12" s="48"/>
      <c r="U12" s="48"/>
      <c r="V12" s="58"/>
    </row>
    <row r="13" spans="1:23" ht="40.200000000000003" customHeight="1" thickTop="1" thickBot="1" x14ac:dyDescent="0.35">
      <c r="A13" s="62" t="s">
        <v>230</v>
      </c>
      <c r="B13" s="40"/>
      <c r="C13" s="379" t="s">
        <v>226</v>
      </c>
      <c r="D13" s="49"/>
      <c r="E13" s="49"/>
      <c r="F13" s="40"/>
      <c r="G13" s="49"/>
      <c r="H13" s="49"/>
      <c r="I13" s="73"/>
      <c r="J13" s="171"/>
      <c r="K13" s="166"/>
      <c r="L13" s="41"/>
      <c r="M13" s="51"/>
      <c r="N13" s="91" t="s">
        <v>24</v>
      </c>
      <c r="O13" s="92" t="s">
        <v>11</v>
      </c>
      <c r="P13" s="93">
        <v>0</v>
      </c>
      <c r="Q13" s="93">
        <v>0</v>
      </c>
      <c r="R13" s="51"/>
      <c r="S13" s="98">
        <f>S4*R4</f>
        <v>360</v>
      </c>
      <c r="T13" s="100" t="str">
        <f>IF(S14="SockelB 60€:",60,IF(  T14&gt;2100,"Betrag über 2.100                      % reduzieren", " im Förderlimit"))</f>
        <v xml:space="preserve"> im Förderlimit</v>
      </c>
      <c r="U13" s="103" t="str">
        <f>IF(U14=0,"größer KV- BBG","Betrag unterhalb KV-BBG")</f>
        <v>Betrag unterhalb KV-BBG</v>
      </c>
      <c r="V13" s="104" t="str">
        <f>IF(V14=0,"größer RV-BBG","Betrag unterhalb RV-BBG")</f>
        <v>Betrag unterhalb RV-BBG</v>
      </c>
      <c r="W13" s="163"/>
    </row>
    <row r="14" spans="1:23" ht="15.6" thickTop="1" thickBot="1" x14ac:dyDescent="0.35">
      <c r="A14" s="31" t="s">
        <v>13</v>
      </c>
      <c r="B14" s="66">
        <v>0</v>
      </c>
      <c r="C14" s="50" t="s">
        <v>227</v>
      </c>
      <c r="D14" s="32">
        <f>IF(B14&lt;=$D$5,B14,$D$5)</f>
        <v>0</v>
      </c>
      <c r="E14" s="32">
        <f>IF(B14&lt;=$E$7,B14,$E$7)</f>
        <v>0</v>
      </c>
      <c r="F14" s="51"/>
      <c r="G14" s="68" t="s">
        <v>24</v>
      </c>
      <c r="H14" s="41"/>
      <c r="I14" s="51"/>
      <c r="J14" s="172"/>
      <c r="K14" s="167"/>
      <c r="L14" s="41"/>
      <c r="M14" s="51"/>
      <c r="N14" s="94">
        <f>IF(N13="J",IF(S4&lt;=0.04,(S4/0.04)*175,175),0)</f>
        <v>43.75</v>
      </c>
      <c r="O14" s="95">
        <f>IF(O13="J",200,)</f>
        <v>0</v>
      </c>
      <c r="P14" s="95">
        <f>P13*185</f>
        <v>0</v>
      </c>
      <c r="Q14" s="95">
        <f>Q13*300</f>
        <v>0</v>
      </c>
      <c r="R14" s="51"/>
      <c r="S14" s="99">
        <f>IF(  ((S4*R4)-N14-O14-P14-Q14)&lt;60,"SockelB 60€:",((S4*R4)-N14-O14-P14-Q14))</f>
        <v>316.25</v>
      </c>
      <c r="T14" s="101">
        <f xml:space="preserve">   IF(S14&lt;&gt;"SockelB 60€:",                      S13+(N14+O14+P14+Q14),60+  (N14+O14+P14+Q14))</f>
        <v>403.75</v>
      </c>
      <c r="U14" s="105">
        <f xml:space="preserve">   IF(                         (0.68503937007874 *$A$4) - ($V$2/12)&gt;0,(0.68503937007874 *$A$4) - ($V$2/12),0)</f>
        <v>2000.7874015748021</v>
      </c>
      <c r="V14" s="106">
        <f>IF(($A$4)-($V$2/12)&gt;0,($A$4)-($V$2/12),0)</f>
        <v>4300</v>
      </c>
    </row>
    <row r="15" spans="1:23" ht="15.6" thickTop="1" thickBot="1" x14ac:dyDescent="0.35">
      <c r="A15" s="34" t="s">
        <v>14</v>
      </c>
      <c r="B15" s="70">
        <f>B14*12</f>
        <v>0</v>
      </c>
      <c r="C15" s="67">
        <v>240</v>
      </c>
      <c r="D15" s="9">
        <f>IF(B15&lt;=$D$6,B15,$D$6)</f>
        <v>0</v>
      </c>
      <c r="E15" s="9">
        <f>IF(B15&lt;=$E$8,B15,$E$8)</f>
        <v>0</v>
      </c>
      <c r="F15" s="33">
        <f>IF(G14="J",IF(C15&gt;=240,IF(C15&lt;=960,0.3*C15,0.3*960),"Keine Förderung"),"Keine Förderung")</f>
        <v>72</v>
      </c>
      <c r="G15" s="53"/>
      <c r="H15" s="55"/>
      <c r="I15" s="54"/>
      <c r="J15" s="173">
        <f>IF($A16="40b Betrag überschritten",D$6-2148,$D$6-B15)</f>
        <v>7008</v>
      </c>
      <c r="K15" s="168">
        <f>IF($A16="§ 40b Altzusage Betrag überschritten",$E$8-1752,$E$8-B15)</f>
        <v>3504</v>
      </c>
      <c r="L15" s="41"/>
      <c r="M15" s="41"/>
      <c r="N15" s="41"/>
      <c r="O15" s="41"/>
      <c r="P15" s="41"/>
      <c r="Q15" s="41"/>
      <c r="R15" s="41"/>
      <c r="S15" s="41"/>
      <c r="T15" s="51"/>
      <c r="U15" s="107" t="str">
        <f>IF(U16&gt;0,"Ersparnis","keine Ersparnis")</f>
        <v>Ersparnis</v>
      </c>
      <c r="V15" s="108" t="str">
        <f>IF(V16&gt;0,"Ersparnis","keine Ersparnis")</f>
        <v>Ersparnis</v>
      </c>
    </row>
    <row r="16" spans="1:23" ht="39" customHeight="1" thickTop="1" thickBot="1" x14ac:dyDescent="0.35">
      <c r="A16" s="62" t="s">
        <v>231</v>
      </c>
      <c r="B16" s="41"/>
      <c r="C16" s="379" t="s">
        <v>226</v>
      </c>
      <c r="D16" s="159" t="s">
        <v>162</v>
      </c>
      <c r="E16" s="160"/>
      <c r="F16" s="161"/>
      <c r="G16" s="48"/>
      <c r="H16" s="48"/>
      <c r="I16" s="51"/>
      <c r="J16" s="174"/>
      <c r="K16" s="169"/>
      <c r="L16" s="41"/>
      <c r="M16" s="41"/>
      <c r="N16" s="41"/>
      <c r="O16" s="41"/>
      <c r="P16" s="41"/>
      <c r="Q16" s="41"/>
      <c r="R16" s="41"/>
      <c r="S16" s="41"/>
      <c r="T16" s="51"/>
      <c r="U16" s="109" t="str">
        <f>IF($B$14&gt;0,IF(   U14 &gt;= $B$14,$B$14*U4, U14*U4 ),"kein Betrag" )</f>
        <v>kein Betrag</v>
      </c>
      <c r="V16" s="110" t="str">
        <f>IF($B$14&gt;0,IF(   V14 &gt;= $B$14,$B$14*V4, V14*V4 ),"kein Betrag" )</f>
        <v>kein Betrag</v>
      </c>
    </row>
    <row r="17" spans="1:22" ht="15.6" thickTop="1" thickBot="1" x14ac:dyDescent="0.35">
      <c r="A17" s="31" t="s">
        <v>13</v>
      </c>
      <c r="B17" s="66">
        <v>100</v>
      </c>
      <c r="C17" s="50" t="s">
        <v>227</v>
      </c>
      <c r="D17" s="32">
        <f>IF((B17+B14)&lt;=$D$5,B17,($D$5-B14-B17))</f>
        <v>100</v>
      </c>
      <c r="E17" s="32">
        <f>IF((B17+B14)&lt;=$E$7,B17,($E$7-B14-B17))</f>
        <v>100</v>
      </c>
      <c r="F17" s="51"/>
      <c r="G17" s="179" t="str">
        <f>G14</f>
        <v>J</v>
      </c>
      <c r="H17" s="32">
        <f>IF($B17&lt;=H9,$B17,H9)</f>
        <v>100</v>
      </c>
      <c r="I17" s="164">
        <f>IF($B17&lt;=I11,$B17,I11)</f>
        <v>100</v>
      </c>
      <c r="J17" s="175"/>
      <c r="K17" s="169"/>
      <c r="L17" s="41"/>
      <c r="M17" s="41"/>
      <c r="N17" s="41"/>
      <c r="O17" s="41"/>
      <c r="P17" s="41"/>
      <c r="Q17" s="41"/>
      <c r="R17" s="41"/>
      <c r="S17" s="41"/>
      <c r="T17" s="51"/>
      <c r="U17" s="403" t="s">
        <v>145</v>
      </c>
      <c r="V17" s="102">
        <v>0.15</v>
      </c>
    </row>
    <row r="18" spans="1:22" ht="15.6" thickTop="1" thickBot="1" x14ac:dyDescent="0.35">
      <c r="A18" s="34" t="s">
        <v>14</v>
      </c>
      <c r="B18" s="70">
        <f>B17*12</f>
        <v>1200</v>
      </c>
      <c r="C18" s="67">
        <v>0</v>
      </c>
      <c r="D18" s="9">
        <f>IF(B18&lt;=$D$6,B18,$D$6)</f>
        <v>1200</v>
      </c>
      <c r="E18" s="9">
        <f>IF(B18&lt;=$E$8,B18,$E$8)</f>
        <v>1200</v>
      </c>
      <c r="F18" s="33">
        <f>IF(G17="J",IF(C18+C15&gt;=240,IF(C18&lt;=960,0.3*(C18),0.3*960),"Keine Förderung"),"Keine Förderung")</f>
        <v>0</v>
      </c>
      <c r="G18" s="162"/>
      <c r="H18" s="9">
        <f>IF($B18&lt;=H10,$B18,H10)</f>
        <v>1200</v>
      </c>
      <c r="I18" s="165">
        <f>IF($B18&lt;=I12,$B18,I12)</f>
        <v>1200</v>
      </c>
      <c r="J18" s="176">
        <f>IF($A19="40b Betrag überschritten",D$6-2148,$D$6-B18)</f>
        <v>5808</v>
      </c>
      <c r="K18" s="170">
        <f>IF($A19="§ 40b Altzusage Betrag überschritten",$E$8-1752,$E$8-B18)</f>
        <v>2304</v>
      </c>
      <c r="L18" s="59"/>
      <c r="M18" s="59"/>
      <c r="N18" s="59"/>
      <c r="O18" s="59"/>
      <c r="P18" s="59"/>
      <c r="Q18" s="55"/>
      <c r="R18" s="59"/>
      <c r="S18" s="59"/>
      <c r="T18" s="54"/>
      <c r="U18" s="404"/>
      <c r="V18" s="75" t="e">
        <f>IF(U17="Nur SV-Ersparnis ",(U16+V16),(V17*$B$14))</f>
        <v>#VALUE!</v>
      </c>
    </row>
    <row r="19" spans="1:22" ht="15.6" hidden="1" thickTop="1" thickBot="1" x14ac:dyDescent="0.35">
      <c r="A19" s="86" t="s">
        <v>154</v>
      </c>
      <c r="B19" s="113"/>
      <c r="C19" s="41"/>
      <c r="D19" s="61"/>
      <c r="E19" s="52"/>
      <c r="F19" s="52"/>
      <c r="G19" s="82"/>
      <c r="H19" s="61"/>
      <c r="I19" s="51"/>
      <c r="J19" s="134"/>
      <c r="K19" s="83"/>
      <c r="L19" s="41"/>
      <c r="M19" s="48"/>
      <c r="N19" s="41"/>
      <c r="O19" s="41"/>
      <c r="P19" s="41"/>
      <c r="Q19" s="41"/>
      <c r="R19" s="41"/>
      <c r="S19" s="41"/>
      <c r="T19" s="41"/>
      <c r="U19" s="41"/>
      <c r="V19" s="97"/>
    </row>
    <row r="20" spans="1:22" ht="15.6" hidden="1"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30" hidden="1" thickTop="1" thickBot="1" x14ac:dyDescent="0.35">
      <c r="A21" s="84" t="s">
        <v>23</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hidden="1"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hidden="1"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30" hidden="1" thickTop="1" thickBot="1" x14ac:dyDescent="0.35">
      <c r="A24" s="112" t="s">
        <v>156</v>
      </c>
      <c r="B24" s="80">
        <v>0</v>
      </c>
      <c r="C24" s="79">
        <v>0</v>
      </c>
      <c r="D24" s="53"/>
      <c r="E24" s="60"/>
      <c r="F24" s="81" t="str">
        <f>IF(G24="J",IF(C24&gt;=240,IF(C24&lt;=480,0.3*C24,0.3*480),"Keine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44.55" hidden="1" thickTop="1" thickBot="1" x14ac:dyDescent="0.35">
      <c r="A25" s="139" t="s">
        <v>157</v>
      </c>
      <c r="B25" s="80">
        <v>16000</v>
      </c>
      <c r="C25" s="121"/>
      <c r="D25" s="49"/>
      <c r="E25" s="49"/>
      <c r="F25" s="49"/>
      <c r="G25" s="49"/>
      <c r="H25" s="48"/>
      <c r="I25" s="48"/>
      <c r="J25" s="48"/>
      <c r="K25" s="125"/>
      <c r="L25" s="49"/>
      <c r="M25" s="41"/>
      <c r="N25" s="41"/>
      <c r="O25" s="41"/>
      <c r="P25" s="41"/>
      <c r="Q25" s="41"/>
      <c r="R25" s="41"/>
      <c r="S25" s="41"/>
      <c r="T25" s="41"/>
      <c r="U25" s="41"/>
      <c r="V25" s="97"/>
    </row>
    <row r="26" spans="1:22" ht="15.6" hidden="1" thickTop="1" thickBot="1" x14ac:dyDescent="0.35">
      <c r="A26" s="138" t="s">
        <v>27</v>
      </c>
      <c r="B26" s="120">
        <v>41122</v>
      </c>
      <c r="C26" s="122"/>
      <c r="D26" s="48"/>
      <c r="E26" s="48"/>
      <c r="F26" s="48"/>
      <c r="G26" s="48"/>
      <c r="H26" s="48"/>
      <c r="I26" s="48"/>
      <c r="J26" s="48"/>
      <c r="K26" s="48"/>
      <c r="L26" s="48"/>
      <c r="M26" s="41"/>
      <c r="N26" s="41"/>
      <c r="O26" s="41"/>
      <c r="P26" s="41"/>
      <c r="Q26" s="41"/>
      <c r="R26" s="41"/>
      <c r="S26" s="41"/>
      <c r="T26" s="41"/>
      <c r="U26" s="41"/>
      <c r="V26" s="97"/>
    </row>
    <row r="27" spans="1:22" ht="15.6" hidden="1" thickTop="1" thickBot="1" x14ac:dyDescent="0.35">
      <c r="A27" s="138" t="s">
        <v>28</v>
      </c>
      <c r="B27" s="120">
        <v>42948</v>
      </c>
      <c r="C27" s="122"/>
      <c r="D27" s="48"/>
      <c r="E27" s="48"/>
      <c r="F27" s="48"/>
      <c r="G27" s="48"/>
      <c r="H27" s="48"/>
      <c r="I27" s="48"/>
      <c r="J27" s="48"/>
      <c r="K27" s="48"/>
      <c r="L27" s="48"/>
      <c r="M27" s="41"/>
      <c r="N27" s="41"/>
      <c r="O27" s="41"/>
      <c r="P27" s="41"/>
      <c r="Q27" s="41"/>
      <c r="R27" s="41"/>
      <c r="S27" s="41"/>
      <c r="T27" s="41"/>
      <c r="U27" s="41"/>
      <c r="V27" s="97"/>
    </row>
    <row r="28" spans="1:22" ht="15.6" hidden="1" thickTop="1" thickBot="1" x14ac:dyDescent="0.35">
      <c r="A28" s="138" t="s">
        <v>31</v>
      </c>
      <c r="B28" s="128">
        <f>IF((DATEDIF($B$26,$B$27,"y")*12)+(DATEDIF($B$26,$B$27,"ym")+((DATEDIF($B$26,$B$27,"md")/30)))&lt;=120,(DATEDIF($B$26,$B$27,"y")*12)+(DATEDIF($B$26,$B$27,"ym")+((DATEDIF($B$26,$B$27,"md")/30))),120)</f>
        <v>60</v>
      </c>
      <c r="C28" s="122"/>
      <c r="D28" s="48"/>
      <c r="E28" s="48"/>
      <c r="F28" s="48"/>
      <c r="G28" s="48"/>
      <c r="H28" s="48"/>
      <c r="I28" s="48"/>
      <c r="J28" s="48"/>
      <c r="K28" s="48"/>
      <c r="L28" s="48"/>
      <c r="M28" s="41"/>
      <c r="N28" s="41"/>
      <c r="O28" s="41"/>
      <c r="P28" s="41"/>
      <c r="Q28" s="41"/>
      <c r="R28" s="41"/>
      <c r="S28" s="41"/>
      <c r="T28" s="41"/>
      <c r="U28" s="41"/>
      <c r="V28" s="97"/>
    </row>
    <row r="29" spans="1:22" ht="15.6" hidden="1" thickTop="1" thickBot="1" x14ac:dyDescent="0.35">
      <c r="A29" s="144" t="str">
        <f>CONCATENATE("Beschäftigungszeitraum beträgt:    ",DATEDIF($B$26,$B$27,"y")," Jahr(e)  ",DATEDIF($B$26,$B$27,"ym")," Monate ",DATEDIF($B$26,$B$27,"MD")," Tage"," -&gt; Jahresfaktor:")</f>
        <v>Beschäftigungszeitraum beträgt:    5 Jahr(e)  0 Monate 0 Tage -&gt; Jahresfaktor:</v>
      </c>
      <c r="B29" s="141">
        <f>DATEDIF($B$26,$B$27,"y")</f>
        <v>5</v>
      </c>
      <c r="C29" s="59"/>
      <c r="D29" s="55"/>
      <c r="E29" s="55"/>
      <c r="F29" s="55"/>
      <c r="G29" s="60"/>
      <c r="H29" s="123">
        <f>IF(B29*I12&lt;= 10*I29,B29*I12,10*I29)</f>
        <v>17520</v>
      </c>
      <c r="I29" s="123">
        <f>B25</f>
        <v>16000</v>
      </c>
      <c r="J29" s="124">
        <f>IF(B25&gt;=H29,0,I12*B29-B25)</f>
        <v>1520</v>
      </c>
      <c r="K29" s="126"/>
      <c r="L29" s="75">
        <f>IF(J29=0,B25-H29,)</f>
        <v>0</v>
      </c>
      <c r="M29" s="53"/>
      <c r="N29" s="55"/>
      <c r="O29" s="59"/>
      <c r="P29" s="59"/>
      <c r="Q29" s="59"/>
      <c r="R29" s="59"/>
      <c r="S29" s="59"/>
      <c r="T29" s="59"/>
      <c r="U29" s="59"/>
      <c r="V29" s="111"/>
    </row>
    <row r="30" spans="1:22" ht="87.6" hidden="1" thickTop="1" thickBot="1" x14ac:dyDescent="0.35">
      <c r="A30" s="142" t="s">
        <v>158</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hidden="1" thickTop="1" thickBot="1" x14ac:dyDescent="0.35">
      <c r="A31" s="140" t="s">
        <v>32</v>
      </c>
      <c r="B31" s="120">
        <v>42401</v>
      </c>
      <c r="C31" s="41"/>
      <c r="D31" s="48"/>
      <c r="E31" s="48"/>
      <c r="F31" s="48"/>
      <c r="G31" s="48"/>
      <c r="H31" s="48"/>
      <c r="I31" s="48"/>
      <c r="J31" s="48"/>
      <c r="K31" s="48"/>
      <c r="L31" s="48"/>
      <c r="M31" s="41"/>
      <c r="N31" s="41"/>
      <c r="O31" s="41"/>
      <c r="P31" s="41"/>
      <c r="Q31" s="41"/>
      <c r="R31" s="41"/>
      <c r="S31" s="41"/>
      <c r="T31" s="41"/>
      <c r="U31" s="41"/>
      <c r="V31" s="97"/>
    </row>
    <row r="32" spans="1:22" ht="15.6" hidden="1" thickTop="1" thickBot="1" x14ac:dyDescent="0.35">
      <c r="A32" s="140" t="s">
        <v>29</v>
      </c>
      <c r="B32" s="120">
        <v>42735</v>
      </c>
      <c r="C32" s="41"/>
      <c r="D32" s="48"/>
      <c r="E32" s="48"/>
      <c r="F32" s="48"/>
      <c r="G32" s="48"/>
      <c r="H32" s="48"/>
      <c r="I32" s="48"/>
      <c r="J32" s="48"/>
      <c r="K32" s="48"/>
      <c r="L32" s="48"/>
      <c r="M32" s="41"/>
      <c r="N32" s="41"/>
      <c r="O32" s="41"/>
      <c r="P32" s="41"/>
      <c r="Q32" s="41"/>
      <c r="R32" s="41"/>
      <c r="S32" s="41"/>
      <c r="T32" s="41"/>
      <c r="U32" s="41"/>
      <c r="V32" s="97"/>
    </row>
    <row r="33" spans="1:22" ht="15.6" hidden="1" thickTop="1" thickBot="1" x14ac:dyDescent="0.35">
      <c r="A33" s="140" t="s">
        <v>31</v>
      </c>
      <c r="B33" s="128">
        <f>IF((DATEDIF($B$31,$B$32,"y")*12)+(DATEDIF($B$31,$B$32,"ym")+((DATEDIF($B$31,$B$32,"md")/30)))&lt;=120,(DATEDIF($B$31,$B$32,"y")*12)+(DATEDIF($B$31,$B$32,"ym")+((DATEDIF($B$31,$B$32,"md")/30))),120)</f>
        <v>11</v>
      </c>
      <c r="C33" s="41"/>
      <c r="D33" s="48"/>
      <c r="E33" s="48"/>
      <c r="F33" s="48"/>
      <c r="G33" s="48"/>
      <c r="H33" s="48"/>
      <c r="I33" s="48"/>
      <c r="J33" s="48"/>
      <c r="K33" s="48"/>
      <c r="L33" s="48"/>
      <c r="M33" s="41"/>
      <c r="N33" s="41"/>
      <c r="O33" s="41"/>
      <c r="P33" s="41"/>
      <c r="Q33" s="41"/>
      <c r="R33" s="41"/>
      <c r="S33" s="41"/>
      <c r="T33" s="41"/>
      <c r="U33" s="41"/>
      <c r="V33" s="97"/>
    </row>
    <row r="34" spans="1:22" ht="15.6" hidden="1" thickTop="1" thickBot="1" x14ac:dyDescent="0.35">
      <c r="A34" s="143" t="str">
        <f>CONCATENATE("Beschäftigungszeitraum beträgt:    ",DATEDIF($B$31,$B$32,"y")," Jahr(e)  ",DATEDIF($B$31,$B$32,"ym")," Monate ",DATEDIF($B$31,$B$32,"MD")," Tage"," -&gt; Jahresfaktor:")</f>
        <v>Beschäftigungszeitraum beträgt:    0 Jahr(e)  10 Monate 30 Tage -&gt; Jahresfaktor:</v>
      </c>
      <c r="B34" s="129">
        <f>DATEDIF($B$31,$B$32,"y")</f>
        <v>0</v>
      </c>
      <c r="C34" s="83"/>
      <c r="D34" s="134"/>
      <c r="E34" s="134"/>
      <c r="F34" s="134"/>
      <c r="G34" s="135"/>
      <c r="H34" s="123">
        <f>IF(B34*H10&lt;= 10*B30,B34*H10,10*B30)</f>
        <v>0</v>
      </c>
      <c r="I34" s="135"/>
      <c r="J34" s="124">
        <f>IF(B30&gt;=H34,0,H10*B34-B30)</f>
        <v>0</v>
      </c>
      <c r="K34" s="135"/>
      <c r="L34" s="75">
        <f>IF(J34=0,B30-H34,)</f>
        <v>0</v>
      </c>
      <c r="M34" s="83"/>
      <c r="N34" s="83"/>
      <c r="O34" s="83"/>
      <c r="P34" s="83"/>
      <c r="Q34" s="83"/>
      <c r="R34" s="83"/>
      <c r="S34" s="83"/>
      <c r="T34" s="83"/>
      <c r="U34" s="83"/>
      <c r="V34" s="136"/>
    </row>
    <row r="35" spans="1:22" ht="15" hidden="1" thickTop="1" x14ac:dyDescent="0.3"/>
    <row r="36" spans="1:22" ht="33" customHeight="1" thickTop="1" thickBot="1" x14ac:dyDescent="0.35">
      <c r="A36" s="177" t="s">
        <v>161</v>
      </c>
      <c r="B36" s="178">
        <f>B15+B18</f>
        <v>1200</v>
      </c>
      <c r="C36" s="178">
        <f>IF(C15+C18&gt;960,960-(C15+C18),C15+C18)</f>
        <v>240</v>
      </c>
      <c r="D36" s="178"/>
      <c r="E36" s="178"/>
      <c r="F36" s="178">
        <f>IF(G17="J",IF(C36&gt;=240,IF(C36&lt;=960,0.3*C36,0.3*960),"Förderungbetrag-Fehlerhaft"),"Keine Förderung")</f>
        <v>72</v>
      </c>
      <c r="G36" s="378">
        <f>IF(G14="J",IF(F36&lt;144,B36+C36,B36),"Kein Geringverdiener")</f>
        <v>1440</v>
      </c>
      <c r="H36" s="178"/>
      <c r="I36" s="178"/>
      <c r="J36" s="178">
        <f>$D$6-B36</f>
        <v>5808</v>
      </c>
      <c r="K36" s="178">
        <f>($E$8-B36)</f>
        <v>2304</v>
      </c>
    </row>
    <row r="37" spans="1:22" ht="15" thickTop="1" x14ac:dyDescent="0.3"/>
    <row r="408" spans="5:5" x14ac:dyDescent="0.3">
      <c r="E408">
        <v>3</v>
      </c>
    </row>
  </sheetData>
  <sheetProtection sheet="1" objects="1" scenarios="1"/>
  <mergeCells count="1">
    <mergeCell ref="U17:U18"/>
  </mergeCells>
  <dataValidations count="2">
    <dataValidation type="list" showInputMessage="1" showErrorMessage="1" promptTitle=" AG-SV Beitrag" prompt="AG-SV-Zusatz-Beitrag - freiwillig %-Satz ?" sqref="U17" xr:uid="{00000000-0002-0000-0100-000000000000}">
      <formula1>"SV-Beitrag freiwillig %-Satz, Nur SV-Ersparnis "</formula1>
    </dataValidation>
    <dataValidation type="list" showInputMessage="1" showErrorMessage="1" sqref="G14 G17 N13:O13 G24 G20" xr:uid="{00000000-0002-0000-0100-000001000000}">
      <formula1>"J, N"</formula1>
    </dataValidation>
  </dataValidations>
  <pageMargins left="0.27" right="0.17" top="0.53" bottom="0.52" header="0.17" footer="0.3"/>
  <pageSetup paperSize="8" fitToWidth="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8"/>
  <sheetViews>
    <sheetView zoomScale="90" zoomScaleNormal="90" workbookViewId="0">
      <selection activeCell="D39" sqref="D39"/>
    </sheetView>
  </sheetViews>
  <sheetFormatPr baseColWidth="10" defaultRowHeight="14.4" x14ac:dyDescent="0.3"/>
  <cols>
    <col min="1" max="1" width="64.6640625" customWidth="1"/>
    <col min="2" max="2" width="19.44140625" customWidth="1"/>
    <col min="3" max="3" width="18.109375" hidden="1" customWidth="1"/>
    <col min="4" max="4" width="16.109375" customWidth="1"/>
    <col min="5" max="5" width="11.44140625" customWidth="1"/>
    <col min="6" max="6" width="18.6640625" hidden="1" customWidth="1"/>
    <col min="7" max="7" width="9.88671875" hidden="1" customWidth="1"/>
    <col min="8" max="9" width="10.33203125" hidden="1" customWidth="1"/>
    <col min="10" max="11" width="10.5546875" hidden="1" customWidth="1"/>
    <col min="12" max="12" width="9.88671875" hidden="1" customWidth="1"/>
    <col min="13" max="13" width="10" hidden="1" customWidth="1"/>
    <col min="14" max="14" width="10.109375" hidden="1" customWidth="1"/>
    <col min="15" max="15" width="12.109375" hidden="1" customWidth="1"/>
    <col min="16" max="16" width="10.44140625" hidden="1" customWidth="1"/>
    <col min="17" max="17" width="12.109375" hidden="1" customWidth="1"/>
    <col min="18" max="18" width="12" hidden="1" customWidth="1"/>
    <col min="19" max="20" width="12.5546875" hidden="1" customWidth="1"/>
    <col min="21" max="21" width="20" customWidth="1"/>
    <col min="22" max="22" width="20.88671875" customWidth="1"/>
  </cols>
  <sheetData>
    <row r="1" spans="1:22" ht="18.600000000000001" thickBot="1" x14ac:dyDescent="0.4">
      <c r="A1" s="5" t="s">
        <v>0</v>
      </c>
      <c r="B1" s="268">
        <f>Berechnung!B1</f>
        <v>2023</v>
      </c>
      <c r="C1" s="1"/>
      <c r="D1" s="5" t="s">
        <v>232</v>
      </c>
    </row>
    <row r="2" spans="1:22" ht="29.4" thickTop="1" thickBot="1" x14ac:dyDescent="0.4">
      <c r="A2" s="267" t="s">
        <v>233</v>
      </c>
      <c r="B2" s="156">
        <f>Berechnung!B2</f>
        <v>4987.5</v>
      </c>
      <c r="D2" s="199">
        <f>ROUND(0.08*A4*12,2)</f>
        <v>7008</v>
      </c>
      <c r="E2" s="204">
        <f>ROUND(0.04*A4*12,2)</f>
        <v>3504</v>
      </c>
      <c r="T2" s="1"/>
      <c r="U2" s="6" t="s">
        <v>147</v>
      </c>
      <c r="V2" s="65">
        <v>48000</v>
      </c>
    </row>
    <row r="3" spans="1:22" ht="54.75" customHeight="1" thickTop="1" thickBot="1" x14ac:dyDescent="0.35">
      <c r="A3" s="15" t="s">
        <v>146</v>
      </c>
      <c r="B3" s="158" t="str">
        <f>CONCATENATE("KV-BBG mtl.  ",B2," €")</f>
        <v>KV-BBG mtl.  4987,5 €</v>
      </c>
      <c r="C3" s="207" t="s">
        <v>12</v>
      </c>
      <c r="D3" s="208" t="str">
        <f>CONCATENATE("steuerfrei p.a. ",D2)</f>
        <v>steuerfrei p.a. 7008</v>
      </c>
      <c r="E3" s="208" t="str">
        <f>CONCATENATE("SV-frei p.a. ",E2)</f>
        <v>SV-frei p.a. 3504</v>
      </c>
      <c r="F3" s="207" t="s">
        <v>149</v>
      </c>
      <c r="G3" s="207" t="s">
        <v>1</v>
      </c>
      <c r="H3" s="208" t="s">
        <v>15</v>
      </c>
      <c r="I3" s="208" t="s">
        <v>17</v>
      </c>
      <c r="J3" s="207" t="s">
        <v>20</v>
      </c>
      <c r="K3" s="207" t="s">
        <v>21</v>
      </c>
      <c r="L3" s="207" t="s">
        <v>25</v>
      </c>
      <c r="M3" s="207" t="s">
        <v>26</v>
      </c>
      <c r="N3" s="209" t="s">
        <v>139</v>
      </c>
      <c r="O3" s="209" t="s">
        <v>142</v>
      </c>
      <c r="P3" s="209" t="s">
        <v>140</v>
      </c>
      <c r="Q3" s="209" t="s">
        <v>141</v>
      </c>
      <c r="R3" s="209" t="s">
        <v>148</v>
      </c>
      <c r="S3" s="209" t="s">
        <v>152</v>
      </c>
      <c r="T3" s="209" t="s">
        <v>153</v>
      </c>
      <c r="U3" s="209" t="s">
        <v>169</v>
      </c>
      <c r="V3" s="210" t="s">
        <v>170</v>
      </c>
    </row>
    <row r="4" spans="1:22" ht="30" customHeight="1" thickTop="1" thickBot="1" x14ac:dyDescent="0.35">
      <c r="A4" s="205">
        <f>Berechnung!A4</f>
        <v>7300</v>
      </c>
      <c r="B4" s="211" t="s">
        <v>10</v>
      </c>
      <c r="C4" s="212" t="s">
        <v>150</v>
      </c>
      <c r="D4" s="213">
        <v>0.08</v>
      </c>
      <c r="E4" s="213">
        <v>0.04</v>
      </c>
      <c r="F4" s="214" t="s">
        <v>30</v>
      </c>
      <c r="G4" s="215"/>
      <c r="H4" s="213">
        <v>0.08</v>
      </c>
      <c r="I4" s="213">
        <v>0.04</v>
      </c>
      <c r="J4" s="216">
        <v>0.08</v>
      </c>
      <c r="K4" s="217">
        <v>0.04</v>
      </c>
      <c r="L4" s="218"/>
      <c r="M4" s="218"/>
      <c r="N4" s="219"/>
      <c r="O4" s="218"/>
      <c r="P4" s="218"/>
      <c r="Q4" s="218"/>
      <c r="R4" s="220">
        <v>36000</v>
      </c>
      <c r="S4" s="221">
        <v>0.01</v>
      </c>
      <c r="T4" s="222"/>
      <c r="U4" s="391">
        <f>Berechnung!U4</f>
        <v>8.8249999999999995E-2</v>
      </c>
      <c r="V4" s="223">
        <f>Berechnung!V4</f>
        <v>0.105</v>
      </c>
    </row>
    <row r="5" spans="1:22" ht="15" hidden="1" thickTop="1" x14ac:dyDescent="0.3">
      <c r="A5" s="17" t="s">
        <v>3</v>
      </c>
      <c r="B5" s="224"/>
      <c r="C5" s="225"/>
      <c r="D5" s="226">
        <f>D4*A4</f>
        <v>584</v>
      </c>
      <c r="E5" s="227"/>
      <c r="F5" s="224"/>
      <c r="G5" s="225"/>
      <c r="H5" s="227"/>
      <c r="I5" s="227"/>
      <c r="J5" s="224"/>
      <c r="K5" s="228"/>
      <c r="L5" s="228"/>
      <c r="M5" s="228"/>
      <c r="N5" s="229"/>
      <c r="O5" s="229"/>
      <c r="P5" s="229"/>
      <c r="Q5" s="229"/>
      <c r="R5" s="229"/>
      <c r="S5" s="229"/>
      <c r="T5" s="229"/>
      <c r="U5" s="229"/>
      <c r="V5" s="230"/>
    </row>
    <row r="6" spans="1:22" ht="15" hidden="1" thickBot="1" x14ac:dyDescent="0.35">
      <c r="A6" s="18" t="s">
        <v>4</v>
      </c>
      <c r="B6" s="231"/>
      <c r="C6" s="232"/>
      <c r="D6" s="233">
        <f>D5*12</f>
        <v>7008</v>
      </c>
      <c r="E6" s="227"/>
      <c r="F6" s="231"/>
      <c r="G6" s="232"/>
      <c r="H6" s="227"/>
      <c r="I6" s="227"/>
      <c r="J6" s="231"/>
      <c r="K6" s="234"/>
      <c r="L6" s="234"/>
      <c r="M6" s="234"/>
      <c r="N6" s="234"/>
      <c r="O6" s="234"/>
      <c r="P6" s="234"/>
      <c r="Q6" s="234"/>
      <c r="R6" s="234"/>
      <c r="S6" s="234"/>
      <c r="T6" s="234"/>
      <c r="U6" s="234"/>
      <c r="V6" s="235"/>
    </row>
    <row r="7" spans="1:22" ht="15" hidden="1" thickTop="1" x14ac:dyDescent="0.3">
      <c r="A7" s="17" t="s">
        <v>5</v>
      </c>
      <c r="B7" s="224"/>
      <c r="C7" s="236"/>
      <c r="D7" s="225"/>
      <c r="E7" s="226">
        <f>E4*A4</f>
        <v>292</v>
      </c>
      <c r="F7" s="224"/>
      <c r="G7" s="225"/>
      <c r="H7" s="227"/>
      <c r="I7" s="227"/>
      <c r="J7" s="224"/>
      <c r="K7" s="228"/>
      <c r="L7" s="228"/>
      <c r="M7" s="228"/>
      <c r="N7" s="228"/>
      <c r="O7" s="228"/>
      <c r="P7" s="228"/>
      <c r="Q7" s="228"/>
      <c r="R7" s="228"/>
      <c r="S7" s="228"/>
      <c r="T7" s="228"/>
      <c r="U7" s="228"/>
      <c r="V7" s="237"/>
    </row>
    <row r="8" spans="1:22" ht="15" hidden="1" thickBot="1" x14ac:dyDescent="0.35">
      <c r="A8" s="18" t="s">
        <v>6</v>
      </c>
      <c r="B8" s="231"/>
      <c r="C8" s="231"/>
      <c r="D8" s="232"/>
      <c r="E8" s="233">
        <f>E7*12</f>
        <v>3504</v>
      </c>
      <c r="F8" s="231"/>
      <c r="G8" s="232"/>
      <c r="H8" s="227"/>
      <c r="I8" s="227"/>
      <c r="J8" s="231"/>
      <c r="K8" s="234"/>
      <c r="L8" s="234"/>
      <c r="M8" s="234"/>
      <c r="N8" s="234"/>
      <c r="O8" s="234"/>
      <c r="P8" s="234"/>
      <c r="Q8" s="234"/>
      <c r="R8" s="234"/>
      <c r="S8" s="234"/>
      <c r="T8" s="234"/>
      <c r="U8" s="234"/>
      <c r="V8" s="235"/>
    </row>
    <row r="9" spans="1:22" ht="15" hidden="1" thickTop="1" x14ac:dyDescent="0.3">
      <c r="A9" s="17" t="s">
        <v>2</v>
      </c>
      <c r="B9" s="224"/>
      <c r="C9" s="224"/>
      <c r="D9" s="238"/>
      <c r="E9" s="239"/>
      <c r="F9" s="224"/>
      <c r="G9" s="225"/>
      <c r="H9" s="240">
        <f>H4*A4</f>
        <v>584</v>
      </c>
      <c r="I9" s="227"/>
      <c r="J9" s="224"/>
      <c r="K9" s="228"/>
      <c r="L9" s="228"/>
      <c r="M9" s="228"/>
      <c r="N9" s="228"/>
      <c r="O9" s="228"/>
      <c r="P9" s="228"/>
      <c r="Q9" s="228"/>
      <c r="R9" s="228"/>
      <c r="S9" s="228"/>
      <c r="T9" s="228"/>
      <c r="U9" s="228"/>
      <c r="V9" s="237"/>
    </row>
    <row r="10" spans="1:22" ht="15" hidden="1" thickBot="1" x14ac:dyDescent="0.35">
      <c r="A10" s="18" t="s">
        <v>7</v>
      </c>
      <c r="B10" s="231"/>
      <c r="C10" s="231"/>
      <c r="D10" s="234"/>
      <c r="E10" s="234"/>
      <c r="F10" s="231"/>
      <c r="G10" s="232"/>
      <c r="H10" s="241">
        <f>H4*A4*12</f>
        <v>7008</v>
      </c>
      <c r="I10" s="227"/>
      <c r="J10" s="231"/>
      <c r="K10" s="234"/>
      <c r="L10" s="234"/>
      <c r="M10" s="234"/>
      <c r="N10" s="234"/>
      <c r="O10" s="234"/>
      <c r="P10" s="234"/>
      <c r="Q10" s="234"/>
      <c r="R10" s="234"/>
      <c r="S10" s="234"/>
      <c r="T10" s="234"/>
      <c r="U10" s="234"/>
      <c r="V10" s="235"/>
    </row>
    <row r="11" spans="1:22" ht="15" hidden="1" thickTop="1" x14ac:dyDescent="0.3">
      <c r="A11" s="19" t="s">
        <v>8</v>
      </c>
      <c r="B11" s="224"/>
      <c r="C11" s="224"/>
      <c r="D11" s="228"/>
      <c r="E11" s="228"/>
      <c r="F11" s="224"/>
      <c r="G11" s="238"/>
      <c r="H11" s="225"/>
      <c r="I11" s="242">
        <f>I4*A4</f>
        <v>292</v>
      </c>
      <c r="J11" s="224"/>
      <c r="K11" s="228"/>
      <c r="L11" s="228"/>
      <c r="M11" s="228"/>
      <c r="N11" s="228"/>
      <c r="O11" s="228"/>
      <c r="P11" s="228"/>
      <c r="Q11" s="228"/>
      <c r="R11" s="228"/>
      <c r="S11" s="228"/>
      <c r="T11" s="228"/>
      <c r="U11" s="228"/>
      <c r="V11" s="237"/>
    </row>
    <row r="12" spans="1:22" ht="15" hidden="1" thickBot="1" x14ac:dyDescent="0.35">
      <c r="A12" s="20" t="s">
        <v>9</v>
      </c>
      <c r="B12" s="224"/>
      <c r="C12" s="224"/>
      <c r="D12" s="228"/>
      <c r="E12" s="228"/>
      <c r="F12" s="224"/>
      <c r="G12" s="228"/>
      <c r="H12" s="243"/>
      <c r="I12" s="244">
        <f>I11*12</f>
        <v>3504</v>
      </c>
      <c r="J12" s="224"/>
      <c r="K12" s="228"/>
      <c r="L12" s="245"/>
      <c r="M12" s="245"/>
      <c r="N12" s="228"/>
      <c r="O12" s="228"/>
      <c r="P12" s="228"/>
      <c r="Q12" s="228"/>
      <c r="R12" s="245"/>
      <c r="S12" s="228"/>
      <c r="T12" s="228"/>
      <c r="U12" s="228"/>
      <c r="V12" s="237"/>
    </row>
    <row r="13" spans="1:22" ht="30" thickTop="1" thickBot="1" x14ac:dyDescent="0.35">
      <c r="A13" s="62" t="s">
        <v>234</v>
      </c>
      <c r="B13" s="246" t="s">
        <v>168</v>
      </c>
      <c r="C13" s="247"/>
      <c r="D13" s="248">
        <f>ROUND(V2/12,2)</f>
        <v>4000</v>
      </c>
      <c r="E13" s="229"/>
      <c r="F13" s="247"/>
      <c r="G13" s="229"/>
      <c r="H13" s="229"/>
      <c r="I13" s="249"/>
      <c r="J13" s="250" t="s">
        <v>22</v>
      </c>
      <c r="K13" s="250" t="s">
        <v>22</v>
      </c>
      <c r="L13" s="224"/>
      <c r="M13" s="251"/>
      <c r="N13" s="252" t="s">
        <v>24</v>
      </c>
      <c r="O13" s="253" t="s">
        <v>11</v>
      </c>
      <c r="P13" s="254">
        <v>0</v>
      </c>
      <c r="Q13" s="254">
        <v>0</v>
      </c>
      <c r="R13" s="251"/>
      <c r="S13" s="255">
        <f>S4*R4</f>
        <v>360</v>
      </c>
      <c r="T13" s="256" t="str">
        <f>IF(S14="SockelB 60€:",60,IF(  T14&gt;2100,"Betrag über 2.100                      % reduzieren", " im Förderlimit"))</f>
        <v xml:space="preserve"> im Förderlimit</v>
      </c>
      <c r="U13" s="103" t="str">
        <f>IF(U14=0,"größer KV- BBG","Betrag mtl. unterhalb          KV-BBG")</f>
        <v>Betrag mtl. unterhalb          KV-BBG</v>
      </c>
      <c r="V13" s="103" t="str">
        <f>IF(V14=0,"größer RV-BBG","Betrag mtl. unterhalb RV-BBG")</f>
        <v>Betrag mtl. unterhalb RV-BBG</v>
      </c>
    </row>
    <row r="14" spans="1:22" ht="15.6" thickTop="1" thickBot="1" x14ac:dyDescent="0.35">
      <c r="A14" s="31" t="s">
        <v>13</v>
      </c>
      <c r="B14" s="66">
        <v>100</v>
      </c>
      <c r="C14" s="50"/>
      <c r="D14" s="257">
        <f>IF(B14&lt;=$D$5,B14,$D$5)</f>
        <v>100</v>
      </c>
      <c r="E14" s="257">
        <f>IF(B14&lt;=$E$7,B14,$E$7)</f>
        <v>100</v>
      </c>
      <c r="F14" s="251"/>
      <c r="G14" s="258" t="s">
        <v>24</v>
      </c>
      <c r="H14" s="224"/>
      <c r="I14" s="251"/>
      <c r="J14" s="227"/>
      <c r="K14" s="227"/>
      <c r="L14" s="224"/>
      <c r="M14" s="251"/>
      <c r="N14" s="259">
        <f>IF(N13="J",IF(S4&lt;=0.04,(S4/0.04)*175,175),0)</f>
        <v>43.75</v>
      </c>
      <c r="O14" s="260">
        <f>IF(O13="J",200,)</f>
        <v>0</v>
      </c>
      <c r="P14" s="260">
        <f>P13*185</f>
        <v>0</v>
      </c>
      <c r="Q14" s="260">
        <f>Q13*300</f>
        <v>0</v>
      </c>
      <c r="R14" s="251"/>
      <c r="S14" s="261">
        <f>IF(  ((S4*R4)-N14-O14-P14-Q14)&lt;60,"SockelB 60€:",((S4*R4)-N14-O14-P14-Q14))</f>
        <v>316.25</v>
      </c>
      <c r="T14" s="262">
        <f xml:space="preserve">   IF(S14&lt;&gt;"SockelB 60€:",                      S13+(N14+O14+P14+Q14),60+  (N14+O14+P14+Q14))</f>
        <v>403.75</v>
      </c>
      <c r="U14" s="105">
        <f xml:space="preserve">   IF(                         (0.677238805970149 *$A$4) - ($V$2/12)&gt;0,(0.677238805970149 *$A$4) - ($V$2/12),0)</f>
        <v>943.84328358208768</v>
      </c>
      <c r="V14" s="105">
        <f>IF(($A$4)-($V$2/12)&gt;0,($A$4)-($V$2/12),0)</f>
        <v>3300</v>
      </c>
    </row>
    <row r="15" spans="1:22" ht="15" thickTop="1" thickBot="1" x14ac:dyDescent="0.35">
      <c r="A15" s="34" t="s">
        <v>167</v>
      </c>
      <c r="B15" s="206">
        <f>B14*12</f>
        <v>1200</v>
      </c>
      <c r="C15" s="67">
        <v>0</v>
      </c>
      <c r="D15" s="233">
        <f>IF(B15&lt;=$D$6,B15,$D$6)</f>
        <v>1200</v>
      </c>
      <c r="E15" s="233">
        <f>IF(B15&lt;=$E$8,B15,$E$8)</f>
        <v>1200</v>
      </c>
      <c r="F15" s="263" t="str">
        <f>IF(G14="J",IF(C15&gt;=240,IF(C15&lt;=480,0.3*C15,0.3*480),"Keine Förderung"),"Keine Förderung")</f>
        <v>Keine Förderung</v>
      </c>
      <c r="G15" s="264"/>
      <c r="H15" s="245"/>
      <c r="I15" s="243"/>
      <c r="J15" s="233">
        <f>IF($A16="40b Betrag überschritten",D$6-2148,$D$6-B15)</f>
        <v>5808</v>
      </c>
      <c r="K15" s="233">
        <f>IF($A16="§ 40b Altzusage Betrag überschritten",$E$8-1752,$E$8-B15)</f>
        <v>2304</v>
      </c>
      <c r="L15" s="224"/>
      <c r="M15" s="224"/>
      <c r="N15" s="224"/>
      <c r="O15" s="224"/>
      <c r="P15" s="224"/>
      <c r="Q15" s="224"/>
      <c r="R15" s="224"/>
      <c r="S15" s="224"/>
      <c r="T15" s="251"/>
      <c r="U15" s="107" t="str">
        <f>IF(U16&gt;0,"AG-Ersparnis KV-PV","keine AG-Ersparnis")</f>
        <v>AG-Ersparnis KV-PV</v>
      </c>
      <c r="V15" s="107" t="str">
        <f>IF(V16&gt;0,"AG-Ersparnis RV-AV","keine AG-Ersparnis")</f>
        <v>AG-Ersparnis RV-AV</v>
      </c>
    </row>
    <row r="16" spans="1:22" ht="26.25" customHeight="1" thickTop="1" thickBot="1" x14ac:dyDescent="0.35">
      <c r="D16" t="s">
        <v>220</v>
      </c>
      <c r="E16" s="392">
        <f>U4+V4</f>
        <v>0.19324999999999998</v>
      </c>
      <c r="F16" s="41"/>
      <c r="G16" s="48"/>
      <c r="H16" s="48"/>
      <c r="I16" s="41"/>
      <c r="J16" s="76"/>
      <c r="K16" s="77"/>
      <c r="L16" s="48"/>
      <c r="M16" s="41"/>
      <c r="N16" s="41"/>
      <c r="O16" s="41"/>
      <c r="P16" s="41"/>
      <c r="Q16" s="41"/>
      <c r="R16" s="41"/>
      <c r="S16" s="41"/>
      <c r="T16" s="51"/>
      <c r="U16" s="109">
        <f>IF($B$14&gt;0,IF(   U14 &gt;= $B$14,$B$14*U4, U14*U4 ),"kein Betrag" )</f>
        <v>8.8249999999999993</v>
      </c>
      <c r="V16" s="109">
        <f>IF($B$14&gt;0,IF(   V14 &gt;= $B$14,$B$14*V4, V14*V4 ),"kein Betrag" )</f>
        <v>10.5</v>
      </c>
    </row>
    <row r="17" spans="1:22" ht="15.6" thickTop="1" thickBot="1" x14ac:dyDescent="0.35">
      <c r="F17" s="51"/>
      <c r="G17" s="71" t="s">
        <v>11</v>
      </c>
      <c r="H17" s="32">
        <f>IF($B17&lt;=H9,$B17,H9)</f>
        <v>0</v>
      </c>
      <c r="I17" s="32">
        <f>IF($B17&lt;=I11,$B17,I11)</f>
        <v>0</v>
      </c>
      <c r="J17" s="76"/>
      <c r="K17" s="77"/>
      <c r="L17" s="48"/>
      <c r="M17" s="41"/>
      <c r="N17" s="41"/>
      <c r="O17" s="41"/>
      <c r="P17" s="41"/>
      <c r="Q17" s="41"/>
      <c r="R17" s="41"/>
      <c r="S17" s="41"/>
      <c r="T17" s="51"/>
      <c r="U17" s="405" t="s">
        <v>216</v>
      </c>
      <c r="V17" s="265" t="str">
        <f>IF(    U17="SV-Beitrag freiwillig %-Satz",                                 15%," ")</f>
        <v xml:space="preserve"> </v>
      </c>
    </row>
    <row r="18" spans="1:22" ht="15.6" thickTop="1" thickBot="1" x14ac:dyDescent="0.35">
      <c r="F18" s="35" t="str">
        <f>IF(G17="J",IF(C18&gt;=240,IF(C18&lt;=480,0.3*C18,0.3*480),"Keine Förderung"),"Keine Förderung")</f>
        <v>Keine Förderung</v>
      </c>
      <c r="G18" s="72"/>
      <c r="H18" s="9">
        <f>IF($B18&lt;=H10,$B18,H10)</f>
        <v>0</v>
      </c>
      <c r="I18" s="9">
        <f>IF($B18&lt;=I12,$B18,I12)</f>
        <v>0</v>
      </c>
      <c r="J18" s="75">
        <f>IF($A19="40b Betrag überschritten",D$6-2148,$D$6-B18)</f>
        <v>7008</v>
      </c>
      <c r="K18" s="75">
        <f>IF($A19="§ 40b Altzusage Betrag überschritten",$E$8-1752,$E$8-B18)</f>
        <v>3504</v>
      </c>
      <c r="L18" s="53"/>
      <c r="M18" s="59"/>
      <c r="N18" s="59"/>
      <c r="O18" s="59"/>
      <c r="P18" s="59"/>
      <c r="Q18" s="55"/>
      <c r="R18" s="59"/>
      <c r="S18" s="59"/>
      <c r="T18" s="54"/>
      <c r="U18" s="406"/>
      <c r="V18" s="266">
        <f>IF(U17="Nur wirksame SV-Ersparnis ",IF(    (U16+V16)  &lt;=0.15*  $B$14,      (U16+V16),      (0.15*$B$14)),(0.15*$B$14))</f>
        <v>15</v>
      </c>
    </row>
    <row r="19" spans="1:22" ht="15.6" hidden="1" thickTop="1" thickBot="1" x14ac:dyDescent="0.35">
      <c r="A19" s="86" t="s">
        <v>154</v>
      </c>
      <c r="B19" s="113"/>
      <c r="C19" s="41"/>
      <c r="D19" s="61"/>
      <c r="E19" s="52"/>
      <c r="F19" s="52"/>
      <c r="G19" s="82"/>
      <c r="H19" s="61"/>
      <c r="I19" s="51"/>
      <c r="J19" s="90"/>
      <c r="K19" s="89"/>
      <c r="L19" s="41"/>
      <c r="M19" s="48"/>
      <c r="N19" s="41"/>
      <c r="O19" s="41"/>
      <c r="P19" s="41"/>
      <c r="Q19" s="41"/>
      <c r="R19" s="41"/>
      <c r="S19" s="41"/>
      <c r="T19" s="41"/>
      <c r="U19" s="41"/>
      <c r="V19" s="97"/>
    </row>
    <row r="20" spans="1:22" ht="15.6" hidden="1"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15.6" hidden="1" thickTop="1" thickBot="1" x14ac:dyDescent="0.35">
      <c r="A21" s="84" t="s">
        <v>23</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hidden="1"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hidden="1"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30" hidden="1" thickTop="1" thickBot="1" x14ac:dyDescent="0.35">
      <c r="A24" s="112" t="s">
        <v>156</v>
      </c>
      <c r="B24" s="80">
        <v>0</v>
      </c>
      <c r="C24" s="79">
        <v>0</v>
      </c>
      <c r="D24" s="53"/>
      <c r="E24" s="60"/>
      <c r="F24" s="81" t="str">
        <f>IF(G24="J",IF(C24&gt;=240,IF(C24&lt;=480,0.3*C24,0.3*480),"Keine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30" hidden="1" thickTop="1" thickBot="1" x14ac:dyDescent="0.35">
      <c r="A25" s="139" t="s">
        <v>157</v>
      </c>
      <c r="B25" s="80">
        <v>16000</v>
      </c>
      <c r="C25" s="121"/>
      <c r="D25" s="49"/>
      <c r="E25" s="49"/>
      <c r="F25" s="49"/>
      <c r="G25" s="49"/>
      <c r="H25" s="48"/>
      <c r="I25" s="48"/>
      <c r="J25" s="48"/>
      <c r="K25" s="125"/>
      <c r="L25" s="49"/>
      <c r="M25" s="41"/>
      <c r="N25" s="41"/>
      <c r="O25" s="41"/>
      <c r="P25" s="41"/>
      <c r="Q25" s="41"/>
      <c r="R25" s="41"/>
      <c r="S25" s="41"/>
      <c r="T25" s="41"/>
      <c r="U25" s="41"/>
      <c r="V25" s="97"/>
    </row>
    <row r="26" spans="1:22" ht="15.6" hidden="1" thickTop="1" thickBot="1" x14ac:dyDescent="0.35">
      <c r="A26" s="138" t="s">
        <v>27</v>
      </c>
      <c r="B26" s="120">
        <v>41122</v>
      </c>
      <c r="C26" s="122"/>
      <c r="D26" s="48"/>
      <c r="E26" s="48"/>
      <c r="F26" s="48"/>
      <c r="G26" s="48"/>
      <c r="H26" s="48"/>
      <c r="I26" s="48"/>
      <c r="J26" s="48"/>
      <c r="K26" s="48"/>
      <c r="L26" s="48"/>
      <c r="M26" s="41"/>
      <c r="N26" s="41"/>
      <c r="O26" s="41"/>
      <c r="P26" s="41"/>
      <c r="Q26" s="41"/>
      <c r="R26" s="41"/>
      <c r="S26" s="41"/>
      <c r="T26" s="41"/>
      <c r="U26" s="41"/>
      <c r="V26" s="97"/>
    </row>
    <row r="27" spans="1:22" ht="15.6" hidden="1" thickTop="1" thickBot="1" x14ac:dyDescent="0.35">
      <c r="A27" s="138" t="s">
        <v>28</v>
      </c>
      <c r="B27" s="120">
        <v>42948</v>
      </c>
      <c r="C27" s="122"/>
      <c r="D27" s="48"/>
      <c r="E27" s="48"/>
      <c r="F27" s="48"/>
      <c r="G27" s="48"/>
      <c r="H27" s="48"/>
      <c r="I27" s="48"/>
      <c r="J27" s="48"/>
      <c r="K27" s="48"/>
      <c r="L27" s="48"/>
      <c r="M27" s="41"/>
      <c r="N27" s="41"/>
      <c r="O27" s="41"/>
      <c r="P27" s="41"/>
      <c r="Q27" s="41"/>
      <c r="R27" s="41"/>
      <c r="S27" s="41"/>
      <c r="T27" s="41"/>
      <c r="U27" s="41"/>
      <c r="V27" s="97"/>
    </row>
    <row r="28" spans="1:22" ht="15.6" hidden="1" thickTop="1" thickBot="1" x14ac:dyDescent="0.35">
      <c r="A28" s="138" t="s">
        <v>31</v>
      </c>
      <c r="B28" s="128">
        <f>IF((DATEDIF($B$26,$B$27,"y")*12)+(DATEDIF($B$26,$B$27,"ym")+((DATEDIF($B$26,$B$27,"md")/30)))&lt;=120,(DATEDIF($B$26,$B$27,"y")*12)+(DATEDIF($B$26,$B$27,"ym")+((DATEDIF($B$26,$B$27,"md")/30))),120)</f>
        <v>60</v>
      </c>
      <c r="C28" s="122"/>
      <c r="D28" s="48"/>
      <c r="E28" s="48"/>
      <c r="F28" s="48"/>
      <c r="G28" s="48"/>
      <c r="H28" s="48"/>
      <c r="I28" s="48"/>
      <c r="J28" s="48"/>
      <c r="K28" s="48"/>
      <c r="L28" s="48"/>
      <c r="M28" s="41"/>
      <c r="N28" s="41"/>
      <c r="O28" s="41"/>
      <c r="P28" s="41"/>
      <c r="Q28" s="41"/>
      <c r="R28" s="41"/>
      <c r="S28" s="41"/>
      <c r="T28" s="41"/>
      <c r="U28" s="41"/>
      <c r="V28" s="97"/>
    </row>
    <row r="29" spans="1:22" ht="15.6" hidden="1" thickTop="1" thickBot="1" x14ac:dyDescent="0.35">
      <c r="A29" s="144" t="str">
        <f>CONCATENATE("Beschäftigungszeitraum beträgt:    ",DATEDIF($B$26,$B$27,"y")," Jahr(e)  ",DATEDIF($B$26,$B$27,"ym")," Monate ",DATEDIF($B$26,$B$27,"MD")," Tage"," -&gt; Jahresfaktor:")</f>
        <v>Beschäftigungszeitraum beträgt:    5 Jahr(e)  0 Monate 0 Tage -&gt; Jahresfaktor:</v>
      </c>
      <c r="B29" s="141">
        <f>DATEDIF($B$26,$B$27,"y")</f>
        <v>5</v>
      </c>
      <c r="C29" s="59"/>
      <c r="D29" s="55"/>
      <c r="E29" s="55"/>
      <c r="F29" s="55"/>
      <c r="G29" s="60"/>
      <c r="H29" s="123">
        <f>IF(B29*I12&lt;= 10*I29,B29*I12,10*I29)</f>
        <v>17520</v>
      </c>
      <c r="I29" s="123">
        <f>B25</f>
        <v>16000</v>
      </c>
      <c r="J29" s="124">
        <f>IF(B25&gt;=H29,0,I12*B29-B25)</f>
        <v>1520</v>
      </c>
      <c r="K29" s="126"/>
      <c r="L29" s="75">
        <f>IF(J29=0,B25-H29,)</f>
        <v>0</v>
      </c>
      <c r="M29" s="53"/>
      <c r="N29" s="55"/>
      <c r="O29" s="59"/>
      <c r="P29" s="59"/>
      <c r="Q29" s="59"/>
      <c r="R29" s="59"/>
      <c r="S29" s="59"/>
      <c r="T29" s="59"/>
      <c r="U29" s="59"/>
      <c r="V29" s="111"/>
    </row>
    <row r="30" spans="1:22" ht="58.8" hidden="1" thickTop="1" thickBot="1" x14ac:dyDescent="0.35">
      <c r="A30" s="142" t="s">
        <v>158</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hidden="1" thickTop="1" thickBot="1" x14ac:dyDescent="0.35">
      <c r="A31" s="140" t="s">
        <v>32</v>
      </c>
      <c r="B31" s="120">
        <v>42401</v>
      </c>
      <c r="C31" s="41"/>
      <c r="D31" s="48"/>
      <c r="E31" s="48"/>
      <c r="F31" s="48"/>
      <c r="G31" s="48"/>
      <c r="H31" s="48"/>
      <c r="I31" s="48"/>
      <c r="J31" s="48"/>
      <c r="K31" s="48"/>
      <c r="L31" s="48"/>
      <c r="M31" s="41"/>
      <c r="N31" s="41"/>
      <c r="O31" s="41"/>
      <c r="P31" s="41"/>
      <c r="Q31" s="41"/>
      <c r="R31" s="41"/>
      <c r="S31" s="41"/>
      <c r="T31" s="41"/>
      <c r="U31" s="41"/>
      <c r="V31" s="97"/>
    </row>
    <row r="32" spans="1:22" ht="15.6" hidden="1" thickTop="1" thickBot="1" x14ac:dyDescent="0.35">
      <c r="A32" s="140" t="s">
        <v>29</v>
      </c>
      <c r="B32" s="120">
        <v>42735</v>
      </c>
      <c r="C32" s="41"/>
      <c r="D32" s="48"/>
      <c r="E32" s="48"/>
      <c r="F32" s="48"/>
      <c r="G32" s="48"/>
      <c r="H32" s="48"/>
      <c r="I32" s="48"/>
      <c r="J32" s="48"/>
      <c r="K32" s="48"/>
      <c r="L32" s="48"/>
      <c r="M32" s="41"/>
      <c r="N32" s="41"/>
      <c r="O32" s="41"/>
      <c r="P32" s="41"/>
      <c r="Q32" s="41"/>
      <c r="R32" s="41"/>
      <c r="S32" s="41"/>
      <c r="T32" s="41"/>
      <c r="U32" s="41"/>
      <c r="V32" s="97"/>
    </row>
    <row r="33" spans="1:22" ht="15.6" hidden="1" thickTop="1" thickBot="1" x14ac:dyDescent="0.35">
      <c r="A33" s="140" t="s">
        <v>31</v>
      </c>
      <c r="B33" s="128">
        <f>IF((DATEDIF($B$31,$B$32,"y")*12)+(DATEDIF($B$31,$B$32,"ym")+((DATEDIF($B$31,$B$32,"md")/30)))&lt;=120,(DATEDIF($B$31,$B$32,"y")*12)+(DATEDIF($B$31,$B$32,"ym")+((DATEDIF($B$31,$B$32,"md")/30))),120)</f>
        <v>11</v>
      </c>
      <c r="C33" s="41"/>
      <c r="D33" s="48"/>
      <c r="E33" s="48"/>
      <c r="F33" s="48"/>
      <c r="G33" s="48"/>
      <c r="H33" s="48"/>
      <c r="I33" s="48"/>
      <c r="J33" s="48"/>
      <c r="K33" s="48"/>
      <c r="L33" s="48"/>
      <c r="M33" s="41"/>
      <c r="N33" s="41"/>
      <c r="O33" s="41"/>
      <c r="P33" s="41"/>
      <c r="Q33" s="41"/>
      <c r="R33" s="41"/>
      <c r="S33" s="41"/>
      <c r="T33" s="41"/>
      <c r="U33" s="41"/>
      <c r="V33" s="97"/>
    </row>
    <row r="34" spans="1:22" ht="15.6" hidden="1" thickTop="1" thickBot="1" x14ac:dyDescent="0.35">
      <c r="A34" s="143" t="str">
        <f>CONCATENATE("Beschäftigungszeitraum beträgt:    ",DATEDIF($B$31,$B$32,"y")," Jahr(e)  ",DATEDIF($B$31,$B$32,"ym")," Monate ",DATEDIF($B$31,$B$32,"MD")," Tage"," -&gt; Jahresfaktor:")</f>
        <v>Beschäftigungszeitraum beträgt:    0 Jahr(e)  10 Monate 30 Tage -&gt; Jahresfaktor:</v>
      </c>
      <c r="B34" s="129">
        <f>DATEDIF($B$31,$B$32,"y")</f>
        <v>0</v>
      </c>
      <c r="C34" s="83"/>
      <c r="D34" s="134"/>
      <c r="E34" s="134"/>
      <c r="F34" s="134"/>
      <c r="G34" s="135"/>
      <c r="H34" s="123">
        <f>IF(B34*H10&lt;= 10*B30,B34*H10,10*B30)</f>
        <v>0</v>
      </c>
      <c r="I34" s="135"/>
      <c r="J34" s="124">
        <f>IF(B30&gt;=H34,0,H10*B34-B30)</f>
        <v>0</v>
      </c>
      <c r="K34" s="135"/>
      <c r="L34" s="75">
        <f>IF(J34=0,B30-H34,)</f>
        <v>0</v>
      </c>
      <c r="M34" s="83"/>
      <c r="N34" s="83"/>
      <c r="O34" s="83"/>
      <c r="P34" s="83"/>
      <c r="Q34" s="83"/>
      <c r="R34" s="83"/>
      <c r="S34" s="83"/>
      <c r="T34" s="83"/>
      <c r="U34" s="83"/>
      <c r="V34" s="136"/>
    </row>
    <row r="35" spans="1:22" ht="15" hidden="1" thickTop="1" x14ac:dyDescent="0.3"/>
    <row r="36" spans="1:22" ht="14.55" thickTop="1" x14ac:dyDescent="0.3">
      <c r="U36" s="393" t="s">
        <v>217</v>
      </c>
      <c r="V36" s="394">
        <f>V18*12</f>
        <v>180</v>
      </c>
    </row>
    <row r="37" spans="1:22" ht="13.95" x14ac:dyDescent="0.3">
      <c r="U37" s="395" t="s">
        <v>218</v>
      </c>
      <c r="V37" s="397">
        <f>E16*B14-V18</f>
        <v>4.3249999999999993</v>
      </c>
    </row>
    <row r="38" spans="1:22" ht="14.55" thickBot="1" x14ac:dyDescent="0.35">
      <c r="U38" s="396" t="s">
        <v>219</v>
      </c>
      <c r="V38" s="398">
        <f>V37*12</f>
        <v>51.899999999999991</v>
      </c>
    </row>
    <row r="408" spans="5:5" x14ac:dyDescent="0.3">
      <c r="E408">
        <v>3</v>
      </c>
    </row>
  </sheetData>
  <sheetProtection sheet="1" objects="1" scenarios="1"/>
  <mergeCells count="1">
    <mergeCell ref="U17:U18"/>
  </mergeCells>
  <dataValidations count="2">
    <dataValidation type="list" showInputMessage="1" showErrorMessage="1" sqref="G14 G17 N13:O13 G24 G20" xr:uid="{00000000-0002-0000-0200-000000000000}">
      <formula1>"J, N"</formula1>
    </dataValidation>
    <dataValidation type="list" showInputMessage="1" showErrorMessage="1" promptTitle=" AG-SV Beitrag" prompt="AG-SV-Zusatz-Beitrag - freiwillig %-Satz ?" sqref="U17:U18" xr:uid="{00000000-0002-0000-0200-000001000000}">
      <formula1>"SV-Beitrag freiwillig %-Satz, Nur wirksame SV-Ersparnis "</formula1>
    </dataValidation>
  </dataValidations>
  <pageMargins left="0.27" right="0.17" top="0.53" bottom="0.52" header="0.17" footer="0.3"/>
  <pageSetup paperSize="8" fitToWidth="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08"/>
  <sheetViews>
    <sheetView zoomScale="110" zoomScaleNormal="110" workbookViewId="0">
      <selection activeCell="A38" sqref="A38"/>
    </sheetView>
  </sheetViews>
  <sheetFormatPr baseColWidth="10" defaultRowHeight="14.4" x14ac:dyDescent="0.3"/>
  <cols>
    <col min="1" max="1" width="67.88671875" customWidth="1"/>
    <col min="2" max="2" width="11.33203125" bestFit="1" customWidth="1"/>
    <col min="3" max="3" width="15.6640625" hidden="1" customWidth="1"/>
    <col min="4" max="4" width="9.88671875" hidden="1" customWidth="1"/>
    <col min="5" max="5" width="8.6640625" hidden="1" customWidth="1"/>
    <col min="6" max="6" width="18.6640625" hidden="1" customWidth="1"/>
    <col min="7" max="7" width="9.88671875" hidden="1" customWidth="1"/>
    <col min="8" max="9" width="10.33203125" bestFit="1" customWidth="1"/>
    <col min="10" max="11" width="10.5546875" bestFit="1" customWidth="1"/>
    <col min="12" max="12" width="9.88671875" hidden="1" customWidth="1"/>
    <col min="13" max="13" width="10" hidden="1" customWidth="1"/>
    <col min="14" max="14" width="10.109375" hidden="1" customWidth="1"/>
    <col min="15" max="15" width="12.109375" hidden="1" customWidth="1"/>
    <col min="16" max="16" width="10.44140625" hidden="1" customWidth="1"/>
    <col min="17" max="17" width="12.109375" hidden="1" customWidth="1"/>
    <col min="18" max="18" width="12" hidden="1" customWidth="1"/>
    <col min="19" max="19" width="12.5546875" hidden="1" customWidth="1"/>
    <col min="20" max="20" width="14.5546875" hidden="1" customWidth="1"/>
    <col min="21" max="22" width="15.88671875" hidden="1" customWidth="1"/>
  </cols>
  <sheetData>
    <row r="1" spans="1:22" ht="18.600000000000001" thickBot="1" x14ac:dyDescent="0.4">
      <c r="A1" s="5" t="s">
        <v>0</v>
      </c>
      <c r="B1" s="5">
        <f>Berechnung!B1</f>
        <v>2023</v>
      </c>
      <c r="C1" s="1"/>
    </row>
    <row r="2" spans="1:22" ht="40.65" customHeight="1" thickTop="1" thickBot="1" x14ac:dyDescent="0.4">
      <c r="B2" s="156">
        <f>Berechnung!B2</f>
        <v>4987.5</v>
      </c>
      <c r="T2" s="1"/>
      <c r="U2" s="6" t="s">
        <v>147</v>
      </c>
      <c r="V2" s="65">
        <v>36000</v>
      </c>
    </row>
    <row r="3" spans="1:22" ht="70.2" thickTop="1" thickBot="1" x14ac:dyDescent="0.35">
      <c r="A3" s="15" t="s">
        <v>146</v>
      </c>
      <c r="B3" s="23" t="str">
        <f>CONCATENATE("KV-BBG  ",B2," €")</f>
        <v>KV-BBG  4987,5 €</v>
      </c>
      <c r="C3" s="25" t="s">
        <v>12</v>
      </c>
      <c r="D3" s="26" t="s">
        <v>16</v>
      </c>
      <c r="E3" s="26" t="s">
        <v>18</v>
      </c>
      <c r="F3" s="25" t="s">
        <v>149</v>
      </c>
      <c r="G3" s="25" t="s">
        <v>1</v>
      </c>
      <c r="H3" s="189" t="str">
        <f>'bAV und AG-Förderbeitrag'!D3</f>
        <v>steuerfrei 7008</v>
      </c>
      <c r="I3" s="189" t="str">
        <f>'bAV und AG-Förderbeitrag'!E3</f>
        <v>SV-Frei 3504</v>
      </c>
      <c r="J3" s="25" t="s">
        <v>20</v>
      </c>
      <c r="K3" s="25" t="s">
        <v>21</v>
      </c>
      <c r="L3" s="25" t="s">
        <v>25</v>
      </c>
      <c r="M3" s="25" t="s">
        <v>26</v>
      </c>
      <c r="N3" s="36" t="s">
        <v>139</v>
      </c>
      <c r="O3" s="36" t="s">
        <v>142</v>
      </c>
      <c r="P3" s="36" t="s">
        <v>140</v>
      </c>
      <c r="Q3" s="36" t="s">
        <v>141</v>
      </c>
      <c r="R3" s="36" t="s">
        <v>148</v>
      </c>
      <c r="S3" s="36" t="s">
        <v>152</v>
      </c>
      <c r="T3" s="36" t="s">
        <v>153</v>
      </c>
      <c r="U3" s="36" t="s">
        <v>143</v>
      </c>
      <c r="V3" s="38" t="s">
        <v>144</v>
      </c>
    </row>
    <row r="4" spans="1:22" ht="30" thickTop="1" thickBot="1" x14ac:dyDescent="0.35">
      <c r="A4" s="205">
        <f>Berechnung!A4</f>
        <v>7300</v>
      </c>
      <c r="B4" s="24" t="s">
        <v>10</v>
      </c>
      <c r="C4" s="7" t="s">
        <v>150</v>
      </c>
      <c r="D4" s="21">
        <v>0.08</v>
      </c>
      <c r="E4" s="21">
        <v>0.04</v>
      </c>
      <c r="F4" s="27" t="s">
        <v>30</v>
      </c>
      <c r="G4" s="22"/>
      <c r="H4" s="21">
        <v>0.08</v>
      </c>
      <c r="I4" s="21">
        <v>0.04</v>
      </c>
      <c r="J4" s="28">
        <v>0.08</v>
      </c>
      <c r="K4" s="29">
        <v>0.04</v>
      </c>
      <c r="L4" s="30"/>
      <c r="M4" s="30"/>
      <c r="N4" s="37"/>
      <c r="O4" s="30"/>
      <c r="P4" s="30"/>
      <c r="Q4" s="30"/>
      <c r="R4" s="63">
        <v>36000</v>
      </c>
      <c r="S4" s="64">
        <v>0.01</v>
      </c>
      <c r="T4" s="39"/>
      <c r="U4" s="69">
        <f>0.073+0.01275</f>
        <v>8.5749999999999993E-2</v>
      </c>
      <c r="V4" s="69">
        <f>0.015+0.0935</f>
        <v>0.1085</v>
      </c>
    </row>
    <row r="5" spans="1:22" ht="15" hidden="1" thickTop="1" x14ac:dyDescent="0.3">
      <c r="A5" s="17" t="s">
        <v>3</v>
      </c>
      <c r="B5" s="41"/>
      <c r="C5" s="42"/>
      <c r="D5" s="8">
        <f>D4*A4</f>
        <v>584</v>
      </c>
      <c r="E5" s="10"/>
      <c r="F5" s="41"/>
      <c r="G5" s="42"/>
      <c r="H5" s="10"/>
      <c r="I5" s="10"/>
      <c r="J5" s="41"/>
      <c r="K5" s="48"/>
      <c r="L5" s="48"/>
      <c r="M5" s="48"/>
      <c r="N5" s="49"/>
      <c r="O5" s="49"/>
      <c r="P5" s="49"/>
      <c r="Q5" s="49"/>
      <c r="R5" s="49"/>
      <c r="S5" s="49"/>
      <c r="T5" s="49"/>
      <c r="U5" s="49"/>
      <c r="V5" s="56"/>
    </row>
    <row r="6" spans="1:22" ht="15" hidden="1" thickBot="1" x14ac:dyDescent="0.35">
      <c r="A6" s="18" t="s">
        <v>4</v>
      </c>
      <c r="B6" s="43"/>
      <c r="C6" s="44"/>
      <c r="D6" s="9">
        <f>D5*12</f>
        <v>7008</v>
      </c>
      <c r="E6" s="10"/>
      <c r="F6" s="43"/>
      <c r="G6" s="44"/>
      <c r="H6" s="10"/>
      <c r="I6" s="10"/>
      <c r="J6" s="43"/>
      <c r="K6" s="47"/>
      <c r="L6" s="47"/>
      <c r="M6" s="47"/>
      <c r="N6" s="47"/>
      <c r="O6" s="47"/>
      <c r="P6" s="47"/>
      <c r="Q6" s="47"/>
      <c r="R6" s="47"/>
      <c r="S6" s="47"/>
      <c r="T6" s="47"/>
      <c r="U6" s="47"/>
      <c r="V6" s="57"/>
    </row>
    <row r="7" spans="1:22" ht="15" hidden="1" thickTop="1" x14ac:dyDescent="0.3">
      <c r="A7" s="17" t="s">
        <v>5</v>
      </c>
      <c r="B7" s="41"/>
      <c r="C7" s="45"/>
      <c r="D7" s="42"/>
      <c r="E7" s="8">
        <f>E4*A4</f>
        <v>292</v>
      </c>
      <c r="F7" s="41"/>
      <c r="G7" s="42"/>
      <c r="H7" s="10"/>
      <c r="I7" s="10"/>
      <c r="J7" s="41"/>
      <c r="K7" s="48"/>
      <c r="L7" s="48"/>
      <c r="M7" s="48"/>
      <c r="N7" s="48"/>
      <c r="O7" s="48"/>
      <c r="P7" s="48"/>
      <c r="Q7" s="48"/>
      <c r="R7" s="48"/>
      <c r="S7" s="48"/>
      <c r="T7" s="48"/>
      <c r="U7" s="48"/>
      <c r="V7" s="58"/>
    </row>
    <row r="8" spans="1:22" ht="15" hidden="1" thickBot="1" x14ac:dyDescent="0.35">
      <c r="A8" s="18" t="s">
        <v>6</v>
      </c>
      <c r="B8" s="43"/>
      <c r="C8" s="43"/>
      <c r="D8" s="44"/>
      <c r="E8" s="9">
        <f>E7*12</f>
        <v>3504</v>
      </c>
      <c r="F8" s="43"/>
      <c r="G8" s="44"/>
      <c r="H8" s="10"/>
      <c r="I8" s="10"/>
      <c r="J8" s="43"/>
      <c r="K8" s="47"/>
      <c r="L8" s="47"/>
      <c r="M8" s="47"/>
      <c r="N8" s="47"/>
      <c r="O8" s="47"/>
      <c r="P8" s="47"/>
      <c r="Q8" s="47"/>
      <c r="R8" s="47"/>
      <c r="S8" s="47"/>
      <c r="T8" s="47"/>
      <c r="U8" s="47"/>
      <c r="V8" s="57"/>
    </row>
    <row r="9" spans="1:22" ht="15" hidden="1" thickTop="1" x14ac:dyDescent="0.3">
      <c r="A9" s="17" t="s">
        <v>2</v>
      </c>
      <c r="B9" s="41"/>
      <c r="C9" s="41"/>
      <c r="D9" s="46"/>
      <c r="E9" s="52"/>
      <c r="F9" s="41"/>
      <c r="G9" s="42"/>
      <c r="H9" s="11">
        <f>H4*A4</f>
        <v>584</v>
      </c>
      <c r="I9" s="10"/>
      <c r="J9" s="41"/>
      <c r="K9" s="48"/>
      <c r="L9" s="48"/>
      <c r="M9" s="48"/>
      <c r="N9" s="48"/>
      <c r="O9" s="48"/>
      <c r="P9" s="48"/>
      <c r="Q9" s="48"/>
      <c r="R9" s="48"/>
      <c r="S9" s="48"/>
      <c r="T9" s="48"/>
      <c r="U9" s="48"/>
      <c r="V9" s="58"/>
    </row>
    <row r="10" spans="1:22" ht="15" hidden="1" thickBot="1" x14ac:dyDescent="0.35">
      <c r="A10" s="18" t="s">
        <v>7</v>
      </c>
      <c r="B10" s="43"/>
      <c r="C10" s="43"/>
      <c r="D10" s="47"/>
      <c r="E10" s="47"/>
      <c r="F10" s="43"/>
      <c r="G10" s="44"/>
      <c r="H10" s="12">
        <f>H4*A4*12</f>
        <v>7008</v>
      </c>
      <c r="I10" s="10"/>
      <c r="J10" s="43"/>
      <c r="K10" s="47"/>
      <c r="L10" s="47"/>
      <c r="M10" s="47"/>
      <c r="N10" s="47"/>
      <c r="O10" s="47"/>
      <c r="P10" s="47"/>
      <c r="Q10" s="47"/>
      <c r="R10" s="47"/>
      <c r="S10" s="47"/>
      <c r="T10" s="47"/>
      <c r="U10" s="47"/>
      <c r="V10" s="57"/>
    </row>
    <row r="11" spans="1:22" ht="15" hidden="1" thickTop="1" x14ac:dyDescent="0.3">
      <c r="A11" s="19" t="s">
        <v>8</v>
      </c>
      <c r="B11" s="41"/>
      <c r="C11" s="41"/>
      <c r="D11" s="48"/>
      <c r="E11" s="48"/>
      <c r="F11" s="41"/>
      <c r="G11" s="46"/>
      <c r="H11" s="42"/>
      <c r="I11" s="13">
        <f>I4*A4</f>
        <v>292</v>
      </c>
      <c r="J11" s="41"/>
      <c r="K11" s="48"/>
      <c r="L11" s="48"/>
      <c r="M11" s="48"/>
      <c r="N11" s="48"/>
      <c r="O11" s="48"/>
      <c r="P11" s="48"/>
      <c r="Q11" s="48"/>
      <c r="R11" s="48"/>
      <c r="S11" s="48"/>
      <c r="T11" s="48"/>
      <c r="U11" s="48"/>
      <c r="V11" s="58"/>
    </row>
    <row r="12" spans="1:22" ht="15" hidden="1" thickBot="1" x14ac:dyDescent="0.35">
      <c r="A12" s="20" t="s">
        <v>9</v>
      </c>
      <c r="B12" s="41"/>
      <c r="C12" s="41"/>
      <c r="D12" s="48"/>
      <c r="E12" s="48"/>
      <c r="F12" s="41"/>
      <c r="G12" s="48"/>
      <c r="H12" s="54"/>
      <c r="I12" s="14">
        <f>I11*12</f>
        <v>3504</v>
      </c>
      <c r="J12" s="41"/>
      <c r="K12" s="48"/>
      <c r="L12" s="55"/>
      <c r="M12" s="55"/>
      <c r="N12" s="48"/>
      <c r="O12" s="48"/>
      <c r="P12" s="48"/>
      <c r="Q12" s="48"/>
      <c r="R12" s="55"/>
      <c r="S12" s="48"/>
      <c r="T12" s="48"/>
      <c r="U12" s="48"/>
      <c r="V12" s="58"/>
    </row>
    <row r="13" spans="1:22" ht="30" hidden="1" thickTop="1" thickBot="1" x14ac:dyDescent="0.35">
      <c r="A13" s="62" t="s">
        <v>151</v>
      </c>
      <c r="B13" s="40"/>
      <c r="C13" s="40"/>
      <c r="D13" s="49"/>
      <c r="E13" s="49"/>
      <c r="F13" s="40"/>
      <c r="G13" s="49"/>
      <c r="H13" s="49"/>
      <c r="I13" s="73"/>
      <c r="J13" s="74" t="s">
        <v>22</v>
      </c>
      <c r="K13" s="74" t="s">
        <v>22</v>
      </c>
      <c r="L13" s="41"/>
      <c r="M13" s="51"/>
      <c r="N13" s="91" t="s">
        <v>24</v>
      </c>
      <c r="O13" s="92" t="s">
        <v>11</v>
      </c>
      <c r="P13" s="93">
        <v>0</v>
      </c>
      <c r="Q13" s="93">
        <v>0</v>
      </c>
      <c r="R13" s="51"/>
      <c r="S13" s="98">
        <f>S4*R4</f>
        <v>360</v>
      </c>
      <c r="T13" s="100" t="str">
        <f>IF(S14="SockelB 60€:",60,IF(  T14&gt;2100,"Betrag über 2.100                      % reduzieren", " im Förderlimit"))</f>
        <v xml:space="preserve"> im Förderlimit</v>
      </c>
      <c r="U13" s="103" t="str">
        <f>IF(U14=0,"größer KV- BBG","Betrag unterhalb KV-BBG")</f>
        <v>Betrag unterhalb KV-BBG</v>
      </c>
      <c r="V13" s="104" t="str">
        <f>IF(V14=0,"größer RV-BBG","Betrag unterhalb RV-BBG")</f>
        <v>Betrag unterhalb RV-BBG</v>
      </c>
    </row>
    <row r="14" spans="1:22" ht="15.6" hidden="1" thickTop="1" thickBot="1" x14ac:dyDescent="0.35">
      <c r="A14" s="31" t="s">
        <v>13</v>
      </c>
      <c r="B14" s="66">
        <v>300</v>
      </c>
      <c r="C14" s="50"/>
      <c r="D14" s="32">
        <f>IF(B14&lt;=$D$5,B14,$D$5)</f>
        <v>300</v>
      </c>
      <c r="E14" s="32">
        <f>IF(B14&lt;=$E$7,B14,$E$7)</f>
        <v>292</v>
      </c>
      <c r="F14" s="51"/>
      <c r="G14" s="68" t="s">
        <v>24</v>
      </c>
      <c r="H14" s="41"/>
      <c r="I14" s="51"/>
      <c r="J14" s="10"/>
      <c r="K14" s="10"/>
      <c r="L14" s="41"/>
      <c r="M14" s="51"/>
      <c r="N14" s="94">
        <f>IF(N13="J",IF(S4&lt;=0.04,(S4/0.04)*175,175),0)</f>
        <v>43.75</v>
      </c>
      <c r="O14" s="95">
        <f>IF(O13="J",200,)</f>
        <v>0</v>
      </c>
      <c r="P14" s="95">
        <f>P13*185</f>
        <v>0</v>
      </c>
      <c r="Q14" s="95">
        <f>Q13*300</f>
        <v>0</v>
      </c>
      <c r="R14" s="51"/>
      <c r="S14" s="99">
        <f>IF(  ((S4*R4)-N14-O14-P14-Q14)&lt;60,"SockelB 60€:",((S4*R4)-N14-O14-P14-Q14))</f>
        <v>316.25</v>
      </c>
      <c r="T14" s="101">
        <f xml:space="preserve">   IF(S14&lt;&gt;"SockelB 60€:",                      S13+(N14+O14+P14+Q14),60+  (N14+O14+P14+Q14))</f>
        <v>403.75</v>
      </c>
      <c r="U14" s="105">
        <f xml:space="preserve">   IF(                         (0.68503937007874 *$A$4) - ($V$2/12)&gt;0,(0.68503937007874 *$A$4) - ($V$2/12),0)</f>
        <v>2000.7874015748021</v>
      </c>
      <c r="V14" s="106">
        <f>IF(($A$4)-($V$2/12)&gt;0,($A$4)-($V$2/12),0)</f>
        <v>4300</v>
      </c>
    </row>
    <row r="15" spans="1:22" ht="15.6" hidden="1" thickTop="1" thickBot="1" x14ac:dyDescent="0.35">
      <c r="A15" s="34" t="s">
        <v>14</v>
      </c>
      <c r="B15" s="70">
        <v>1000</v>
      </c>
      <c r="C15" s="67">
        <v>0</v>
      </c>
      <c r="D15" s="9">
        <f>IF(B15&lt;=$D$6,B15,$D$6)</f>
        <v>1000</v>
      </c>
      <c r="E15" s="9">
        <f>IF(B15&lt;=$E$8,B15,$E$8)</f>
        <v>1000</v>
      </c>
      <c r="F15" s="33" t="str">
        <f>IF(G14="J",IF(C15&gt;=240,IF(C15&lt;=480,0.3*C15,0.3*480),"Keine Förderung"),"Keine Förderung")</f>
        <v>Keine Förderung</v>
      </c>
      <c r="G15" s="53"/>
      <c r="H15" s="55"/>
      <c r="I15" s="54"/>
      <c r="J15" s="9">
        <f>IF($A16="40b Betrag überschritten",D$6-2148,$D$6-B15)</f>
        <v>6008</v>
      </c>
      <c r="K15" s="9">
        <f>IF($A16="§ 40b Altzusage Betrag überschritten",$E$8-1752,$E$8-B15)</f>
        <v>2504</v>
      </c>
      <c r="L15" s="41"/>
      <c r="M15" s="41"/>
      <c r="N15" s="41"/>
      <c r="O15" s="41"/>
      <c r="P15" s="41"/>
      <c r="Q15" s="41"/>
      <c r="R15" s="41"/>
      <c r="S15" s="41"/>
      <c r="T15" s="51"/>
      <c r="U15" s="107" t="str">
        <f>IF(U16&gt;0,"Ersparnis","keine Ersparnis")</f>
        <v>Ersparnis</v>
      </c>
      <c r="V15" s="108" t="str">
        <f>IF(V16&gt;0,"Ersparnis","keine Ersparnis")</f>
        <v>Ersparnis</v>
      </c>
    </row>
    <row r="16" spans="1:22" ht="26.25" hidden="1" customHeight="1" thickTop="1" thickBot="1" x14ac:dyDescent="0.35">
      <c r="A16" s="62" t="s">
        <v>19</v>
      </c>
      <c r="B16" s="41"/>
      <c r="C16" s="41"/>
      <c r="D16" s="48"/>
      <c r="E16" s="48"/>
      <c r="F16" s="41"/>
      <c r="G16" s="48"/>
      <c r="H16" s="48"/>
      <c r="I16" s="41"/>
      <c r="J16" s="76"/>
      <c r="K16" s="77"/>
      <c r="L16" s="48"/>
      <c r="M16" s="41"/>
      <c r="N16" s="41"/>
      <c r="O16" s="41"/>
      <c r="P16" s="41"/>
      <c r="Q16" s="41"/>
      <c r="R16" s="41"/>
      <c r="S16" s="41"/>
      <c r="T16" s="51"/>
      <c r="U16" s="109">
        <f>IF($B$14&gt;0,IF(   U14 &gt;= $B$14,$B$14*U4, U14*U4 ),"kein Betrag" )</f>
        <v>25.724999999999998</v>
      </c>
      <c r="V16" s="110">
        <f>IF($B$14&gt;0,IF(   V14 &gt;= $B$14,$B$14*V4, V14*V4 ),"kein Betrag" )</f>
        <v>32.549999999999997</v>
      </c>
    </row>
    <row r="17" spans="1:22" ht="15.6" hidden="1" thickTop="1" thickBot="1" x14ac:dyDescent="0.35">
      <c r="A17" s="31" t="s">
        <v>13</v>
      </c>
      <c r="B17" s="66">
        <v>0</v>
      </c>
      <c r="C17" s="50"/>
      <c r="D17" s="32">
        <f>IF(B17&lt;=$D$5,B17,$D$5)</f>
        <v>0</v>
      </c>
      <c r="E17" s="32">
        <f>IF(B17&lt;=$E$7,B17,$E$7)</f>
        <v>0</v>
      </c>
      <c r="F17" s="51"/>
      <c r="G17" s="71" t="s">
        <v>11</v>
      </c>
      <c r="H17" s="32">
        <f>IF($B17&lt;=H9,$B17,H9)</f>
        <v>0</v>
      </c>
      <c r="I17" s="32">
        <f>IF($B17&lt;=I11,$B17,I11)</f>
        <v>0</v>
      </c>
      <c r="J17" s="76"/>
      <c r="K17" s="77"/>
      <c r="L17" s="48"/>
      <c r="M17" s="41"/>
      <c r="N17" s="41"/>
      <c r="O17" s="41"/>
      <c r="P17" s="41"/>
      <c r="Q17" s="41"/>
      <c r="R17" s="41"/>
      <c r="S17" s="41"/>
      <c r="T17" s="51"/>
      <c r="U17" s="403" t="s">
        <v>145</v>
      </c>
      <c r="V17" s="102">
        <v>0.15</v>
      </c>
    </row>
    <row r="18" spans="1:22" ht="15.6" hidden="1" thickTop="1" thickBot="1" x14ac:dyDescent="0.35">
      <c r="A18" s="34" t="s">
        <v>14</v>
      </c>
      <c r="B18" s="70">
        <v>0</v>
      </c>
      <c r="C18" s="67">
        <v>0</v>
      </c>
      <c r="D18" s="9">
        <f>IF(B18&lt;=$D$6,B18,$D$6)</f>
        <v>0</v>
      </c>
      <c r="E18" s="9">
        <f>IF(B18&lt;=$E$8,B18,$E$8)</f>
        <v>0</v>
      </c>
      <c r="F18" s="35" t="str">
        <f>IF(G17="J",IF(C18&gt;=240,IF(C18&lt;=480,0.3*C18,0.3*480),"Keine Förderung"),"Keine Förderung")</f>
        <v>Keine Förderung</v>
      </c>
      <c r="G18" s="72"/>
      <c r="H18" s="9">
        <f>IF($B18&lt;=H10,$B18,H10)</f>
        <v>0</v>
      </c>
      <c r="I18" s="9">
        <f>IF($B18&lt;=I12,$B18,I12)</f>
        <v>0</v>
      </c>
      <c r="J18" s="75">
        <f>IF($A19="40b Betrag überschritten",D$6-2148,$D$6-B18)</f>
        <v>7008</v>
      </c>
      <c r="K18" s="75">
        <f>IF($A19="§ 40b Altzusage Betrag überschritten",$E$8-1752,$E$8-B18)</f>
        <v>3504</v>
      </c>
      <c r="L18" s="53"/>
      <c r="M18" s="59"/>
      <c r="N18" s="59"/>
      <c r="O18" s="59"/>
      <c r="P18" s="59"/>
      <c r="Q18" s="55"/>
      <c r="R18" s="59"/>
      <c r="S18" s="59"/>
      <c r="T18" s="54"/>
      <c r="U18" s="404"/>
      <c r="V18" s="75">
        <f>IF(U17="Nur SV-Ersparnis ",(U16+V16),(V17*$B$14))</f>
        <v>58.274999999999991</v>
      </c>
    </row>
    <row r="19" spans="1:22" ht="15.6" thickTop="1" thickBot="1" x14ac:dyDescent="0.35">
      <c r="A19" s="86" t="s">
        <v>154</v>
      </c>
      <c r="B19" s="113"/>
      <c r="C19" s="41"/>
      <c r="D19" s="61"/>
      <c r="E19" s="52"/>
      <c r="F19" s="52"/>
      <c r="G19" s="82"/>
      <c r="H19" s="61"/>
      <c r="I19" s="51"/>
      <c r="J19" s="90"/>
      <c r="K19" s="89"/>
      <c r="L19" s="41"/>
      <c r="M19" s="48"/>
      <c r="N19" s="41"/>
      <c r="O19" s="41"/>
      <c r="P19" s="41"/>
      <c r="Q19" s="41"/>
      <c r="R19" s="41"/>
      <c r="S19" s="41"/>
      <c r="T19" s="41"/>
      <c r="U19" s="41"/>
      <c r="V19" s="97"/>
    </row>
    <row r="20" spans="1:22" ht="15.6"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15.6" thickTop="1" thickBot="1" x14ac:dyDescent="0.35">
      <c r="A21" s="84" t="s">
        <v>164</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15.6" thickTop="1" thickBot="1" x14ac:dyDescent="0.35">
      <c r="A24" s="112" t="s">
        <v>221</v>
      </c>
      <c r="B24" s="80">
        <v>0</v>
      </c>
      <c r="C24" s="79">
        <v>0</v>
      </c>
      <c r="D24" s="53"/>
      <c r="E24" s="60"/>
      <c r="F24" s="81" t="str">
        <f>IF(G24="J",IF(C24&gt;=240,IF(C24&lt;=480,0.3*C24,0.3*480),"Keine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30" hidden="1" thickTop="1" thickBot="1" x14ac:dyDescent="0.35">
      <c r="A25" s="139" t="s">
        <v>157</v>
      </c>
      <c r="B25" s="80">
        <v>16000</v>
      </c>
      <c r="C25" s="121"/>
      <c r="D25" s="49"/>
      <c r="E25" s="49"/>
      <c r="F25" s="49"/>
      <c r="G25" s="49"/>
      <c r="H25" s="48"/>
      <c r="I25" s="48"/>
      <c r="J25" s="48"/>
      <c r="K25" s="125"/>
      <c r="L25" s="49"/>
      <c r="M25" s="41"/>
      <c r="N25" s="41"/>
      <c r="O25" s="41"/>
      <c r="P25" s="41"/>
      <c r="Q25" s="41"/>
      <c r="R25" s="41"/>
      <c r="S25" s="41"/>
      <c r="T25" s="41"/>
      <c r="U25" s="41"/>
      <c r="V25" s="97"/>
    </row>
    <row r="26" spans="1:22" ht="15.6" hidden="1" thickTop="1" thickBot="1" x14ac:dyDescent="0.35">
      <c r="A26" s="138" t="s">
        <v>27</v>
      </c>
      <c r="B26" s="120">
        <v>41122</v>
      </c>
      <c r="C26" s="122"/>
      <c r="D26" s="48"/>
      <c r="E26" s="48"/>
      <c r="F26" s="48"/>
      <c r="G26" s="48"/>
      <c r="H26" s="48"/>
      <c r="I26" s="48"/>
      <c r="J26" s="48"/>
      <c r="K26" s="48"/>
      <c r="L26" s="48"/>
      <c r="M26" s="41"/>
      <c r="N26" s="41"/>
      <c r="O26" s="41"/>
      <c r="P26" s="41"/>
      <c r="Q26" s="41"/>
      <c r="R26" s="41"/>
      <c r="S26" s="41"/>
      <c r="T26" s="41"/>
      <c r="U26" s="41"/>
      <c r="V26" s="97"/>
    </row>
    <row r="27" spans="1:22" ht="15.6" hidden="1" thickTop="1" thickBot="1" x14ac:dyDescent="0.35">
      <c r="A27" s="138" t="s">
        <v>28</v>
      </c>
      <c r="B27" s="120">
        <v>42948</v>
      </c>
      <c r="C27" s="122"/>
      <c r="D27" s="48"/>
      <c r="E27" s="48"/>
      <c r="F27" s="48"/>
      <c r="G27" s="48"/>
      <c r="H27" s="48"/>
      <c r="I27" s="48"/>
      <c r="J27" s="48"/>
      <c r="K27" s="48"/>
      <c r="L27" s="48"/>
      <c r="M27" s="41"/>
      <c r="N27" s="41"/>
      <c r="O27" s="41"/>
      <c r="P27" s="41"/>
      <c r="Q27" s="41"/>
      <c r="R27" s="41"/>
      <c r="S27" s="41"/>
      <c r="T27" s="41"/>
      <c r="U27" s="41"/>
      <c r="V27" s="97"/>
    </row>
    <row r="28" spans="1:22" ht="15.6" hidden="1" thickTop="1" thickBot="1" x14ac:dyDescent="0.35">
      <c r="A28" s="138" t="s">
        <v>31</v>
      </c>
      <c r="B28" s="128">
        <f>IF((DATEDIF($B$26,$B$27,"y")*12)+(DATEDIF($B$26,$B$27,"ym")+((DATEDIF($B$26,$B$27,"md")/30)))&lt;=120,(DATEDIF($B$26,$B$27,"y")*12)+(DATEDIF($B$26,$B$27,"ym")+((DATEDIF($B$26,$B$27,"md")/30))),120)</f>
        <v>60</v>
      </c>
      <c r="C28" s="122"/>
      <c r="D28" s="48"/>
      <c r="E28" s="48"/>
      <c r="F28" s="48"/>
      <c r="G28" s="48"/>
      <c r="H28" s="48"/>
      <c r="I28" s="48"/>
      <c r="J28" s="48"/>
      <c r="K28" s="48"/>
      <c r="L28" s="48"/>
      <c r="M28" s="41"/>
      <c r="N28" s="41"/>
      <c r="O28" s="41"/>
      <c r="P28" s="41"/>
      <c r="Q28" s="41"/>
      <c r="R28" s="41"/>
      <c r="S28" s="41"/>
      <c r="T28" s="41"/>
      <c r="U28" s="41"/>
      <c r="V28" s="97"/>
    </row>
    <row r="29" spans="1:22" ht="15.6" hidden="1" thickTop="1" thickBot="1" x14ac:dyDescent="0.35">
      <c r="A29" s="144" t="str">
        <f>CONCATENATE("Beschäftigungszeitraum beträgt:    ",DATEDIF($B$26,$B$27,"y")," Jahr(e)  ",DATEDIF($B$26,$B$27,"ym")," Monate ",DATEDIF($B$26,$B$27,"MD")," Tage"," -&gt; Jahresfaktor:")</f>
        <v>Beschäftigungszeitraum beträgt:    5 Jahr(e)  0 Monate 0 Tage -&gt; Jahresfaktor:</v>
      </c>
      <c r="B29" s="141">
        <f>DATEDIF($B$26,$B$27,"y")</f>
        <v>5</v>
      </c>
      <c r="C29" s="59"/>
      <c r="D29" s="55"/>
      <c r="E29" s="55"/>
      <c r="F29" s="55"/>
      <c r="G29" s="60"/>
      <c r="H29" s="123">
        <f>IF(B29*I12&lt;= 10*I29,B29*I12,10*I29)</f>
        <v>17520</v>
      </c>
      <c r="I29" s="123">
        <f>B25</f>
        <v>16000</v>
      </c>
      <c r="J29" s="124">
        <f>IF(B25&gt;=H29,0,I12*B29-B25)</f>
        <v>1520</v>
      </c>
      <c r="K29" s="126"/>
      <c r="L29" s="75">
        <f>IF(J29=0,B25-H29,)</f>
        <v>0</v>
      </c>
      <c r="M29" s="53"/>
      <c r="N29" s="55"/>
      <c r="O29" s="59"/>
      <c r="P29" s="59"/>
      <c r="Q29" s="59"/>
      <c r="R29" s="59"/>
      <c r="S29" s="59"/>
      <c r="T29" s="59"/>
      <c r="U29" s="59"/>
      <c r="V29" s="111"/>
    </row>
    <row r="30" spans="1:22" ht="58.8" hidden="1" thickTop="1" thickBot="1" x14ac:dyDescent="0.35">
      <c r="A30" s="142" t="s">
        <v>158</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hidden="1" thickTop="1" thickBot="1" x14ac:dyDescent="0.35">
      <c r="A31" s="140" t="s">
        <v>32</v>
      </c>
      <c r="B31" s="120">
        <v>42401</v>
      </c>
      <c r="C31" s="41"/>
      <c r="D31" s="48"/>
      <c r="E31" s="48"/>
      <c r="F31" s="48"/>
      <c r="G31" s="48"/>
      <c r="H31" s="48"/>
      <c r="I31" s="48"/>
      <c r="J31" s="48"/>
      <c r="K31" s="48"/>
      <c r="L31" s="48"/>
      <c r="M31" s="41"/>
      <c r="N31" s="41"/>
      <c r="O31" s="41"/>
      <c r="P31" s="41"/>
      <c r="Q31" s="41"/>
      <c r="R31" s="41"/>
      <c r="S31" s="41"/>
      <c r="T31" s="41"/>
      <c r="U31" s="41"/>
      <c r="V31" s="97"/>
    </row>
    <row r="32" spans="1:22" ht="15.6" hidden="1" thickTop="1" thickBot="1" x14ac:dyDescent="0.35">
      <c r="A32" s="140" t="s">
        <v>29</v>
      </c>
      <c r="B32" s="120">
        <v>42735</v>
      </c>
      <c r="C32" s="41"/>
      <c r="D32" s="48"/>
      <c r="E32" s="48"/>
      <c r="F32" s="48"/>
      <c r="G32" s="48"/>
      <c r="H32" s="48"/>
      <c r="I32" s="48"/>
      <c r="J32" s="48"/>
      <c r="K32" s="48"/>
      <c r="L32" s="48"/>
      <c r="M32" s="41"/>
      <c r="N32" s="41"/>
      <c r="O32" s="41"/>
      <c r="P32" s="41"/>
      <c r="Q32" s="41"/>
      <c r="R32" s="41"/>
      <c r="S32" s="41"/>
      <c r="T32" s="41"/>
      <c r="U32" s="41"/>
      <c r="V32" s="97"/>
    </row>
    <row r="33" spans="1:22" ht="15.6" hidden="1" thickTop="1" thickBot="1" x14ac:dyDescent="0.35">
      <c r="A33" s="140" t="s">
        <v>31</v>
      </c>
      <c r="B33" s="128">
        <f>IF((DATEDIF($B$31,$B$32,"y")*12)+(DATEDIF($B$31,$B$32,"ym")+((DATEDIF($B$31,$B$32,"md")/30)))&lt;=120,(DATEDIF($B$31,$B$32,"y")*12)+(DATEDIF($B$31,$B$32,"ym")+((DATEDIF($B$31,$B$32,"md")/30))),120)</f>
        <v>11</v>
      </c>
      <c r="C33" s="41"/>
      <c r="D33" s="48"/>
      <c r="E33" s="48"/>
      <c r="F33" s="48"/>
      <c r="G33" s="48"/>
      <c r="H33" s="48"/>
      <c r="I33" s="48"/>
      <c r="J33" s="48"/>
      <c r="K33" s="48"/>
      <c r="L33" s="48"/>
      <c r="M33" s="41"/>
      <c r="N33" s="41"/>
      <c r="O33" s="41"/>
      <c r="P33" s="41"/>
      <c r="Q33" s="41"/>
      <c r="R33" s="41"/>
      <c r="S33" s="41"/>
      <c r="T33" s="41"/>
      <c r="U33" s="41"/>
      <c r="V33" s="97"/>
    </row>
    <row r="34" spans="1:22" ht="15.6" hidden="1" thickTop="1" thickBot="1" x14ac:dyDescent="0.35">
      <c r="A34" s="143" t="str">
        <f>CONCATENATE("Beschäftigungszeitraum beträgt:    ",DATEDIF($B$31,$B$32,"y")," Jahr(e)  ",DATEDIF($B$31,$B$32,"ym")," Monate ",DATEDIF($B$31,$B$32,"MD")," Tage"," -&gt; Jahresfaktor:")</f>
        <v>Beschäftigungszeitraum beträgt:    0 Jahr(e)  10 Monate 30 Tage -&gt; Jahresfaktor:</v>
      </c>
      <c r="B34" s="129">
        <f>DATEDIF($B$31,$B$32,"y")</f>
        <v>0</v>
      </c>
      <c r="C34" s="83"/>
      <c r="D34" s="134"/>
      <c r="E34" s="134"/>
      <c r="F34" s="134"/>
      <c r="G34" s="135"/>
      <c r="H34" s="123">
        <f>IF(B34*H10&lt;= 10*B30,B34*H10,10*B30)</f>
        <v>0</v>
      </c>
      <c r="I34" s="135"/>
      <c r="J34" s="124">
        <f>IF(B30&gt;=H34,0,H10*B34-B30)</f>
        <v>0</v>
      </c>
      <c r="K34" s="135"/>
      <c r="L34" s="75">
        <f>IF(J34=0,B30-H34,)</f>
        <v>0</v>
      </c>
      <c r="M34" s="83"/>
      <c r="N34" s="83"/>
      <c r="O34" s="83"/>
      <c r="P34" s="83"/>
      <c r="Q34" s="83"/>
      <c r="R34" s="83"/>
      <c r="S34" s="83"/>
      <c r="T34" s="83"/>
      <c r="U34" s="83"/>
      <c r="V34" s="136"/>
    </row>
    <row r="408" spans="5:5" x14ac:dyDescent="0.3">
      <c r="E408">
        <v>3</v>
      </c>
    </row>
  </sheetData>
  <sheetProtection sheet="1" objects="1" scenarios="1"/>
  <mergeCells count="1">
    <mergeCell ref="U17:U18"/>
  </mergeCells>
  <dataValidations count="2">
    <dataValidation type="list" showInputMessage="1" showErrorMessage="1" promptTitle=" AG-SV Beitrag" prompt="AG-SV-Zusatz-Beitrag - freiwillig %-Satz ?" sqref="U17" xr:uid="{00000000-0002-0000-0300-000000000000}">
      <formula1>"SV-Beitrag freiwillig %-Satz, Nur SV-Ersparnis "</formula1>
    </dataValidation>
    <dataValidation type="list" showInputMessage="1" showErrorMessage="1" sqref="G14 G17 N13:O13 G24 G20" xr:uid="{00000000-0002-0000-0300-000001000000}">
      <formula1>"J, N"</formula1>
    </dataValidation>
  </dataValidations>
  <pageMargins left="0.27" right="0.17" top="0.53" bottom="0.52" header="0.17" footer="0.3"/>
  <pageSetup paperSize="8" fitToWidth="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08"/>
  <sheetViews>
    <sheetView topLeftCell="A25" zoomScale="90" zoomScaleNormal="90" workbookViewId="0">
      <selection activeCell="B29" sqref="B29"/>
    </sheetView>
  </sheetViews>
  <sheetFormatPr baseColWidth="10" defaultRowHeight="14.4" x14ac:dyDescent="0.3"/>
  <cols>
    <col min="1" max="1" width="76.88671875" customWidth="1"/>
    <col min="2" max="2" width="11.33203125" bestFit="1" customWidth="1"/>
    <col min="3" max="3" width="15.6640625" hidden="1" customWidth="1"/>
    <col min="4" max="4" width="9.88671875" hidden="1" customWidth="1"/>
    <col min="5" max="5" width="8.6640625" hidden="1" customWidth="1"/>
    <col min="6" max="6" width="18.6640625" hidden="1" customWidth="1"/>
    <col min="7" max="7" width="9.88671875" hidden="1" customWidth="1"/>
    <col min="8" max="8" width="10.88671875" bestFit="1" customWidth="1"/>
    <col min="9" max="9" width="10.33203125" bestFit="1" customWidth="1"/>
    <col min="10" max="10" width="11.33203125" customWidth="1"/>
    <col min="11" max="11" width="10.5546875" bestFit="1" customWidth="1"/>
    <col min="12" max="12" width="9.88671875" bestFit="1" customWidth="1"/>
    <col min="13" max="13" width="10" hidden="1" customWidth="1"/>
    <col min="14" max="14" width="10.109375" hidden="1" customWidth="1"/>
    <col min="15" max="15" width="12.109375" hidden="1" customWidth="1"/>
    <col min="16" max="16" width="10.44140625" hidden="1" customWidth="1"/>
    <col min="17" max="17" width="12.109375" hidden="1" customWidth="1"/>
    <col min="18" max="18" width="12" hidden="1" customWidth="1"/>
    <col min="19" max="19" width="12.5546875" hidden="1" customWidth="1"/>
    <col min="20" max="20" width="14.5546875" hidden="1" customWidth="1"/>
    <col min="21" max="22" width="15.88671875" hidden="1" customWidth="1"/>
  </cols>
  <sheetData>
    <row r="1" spans="1:22" ht="18.600000000000001" thickBot="1" x14ac:dyDescent="0.4">
      <c r="A1" s="5" t="s">
        <v>0</v>
      </c>
      <c r="B1" s="5">
        <f>Berechnung!B1</f>
        <v>2023</v>
      </c>
      <c r="C1" s="1"/>
    </row>
    <row r="2" spans="1:22" ht="40.65" hidden="1" customHeight="1" thickTop="1" thickBot="1" x14ac:dyDescent="0.4">
      <c r="B2" s="156">
        <f>Berechnung!B2</f>
        <v>4987.5</v>
      </c>
      <c r="H2" s="400">
        <f>ROUND((0.08*A4*12),2)</f>
        <v>7008</v>
      </c>
      <c r="I2" s="200">
        <f>ROUND(0.04*A4*12,2)</f>
        <v>3504</v>
      </c>
      <c r="T2" s="1"/>
      <c r="U2" s="6" t="s">
        <v>147</v>
      </c>
      <c r="V2" s="65">
        <v>36000</v>
      </c>
    </row>
    <row r="3" spans="1:22" ht="69.599999999999994" thickBot="1" x14ac:dyDescent="0.35">
      <c r="A3" s="15" t="s">
        <v>146</v>
      </c>
      <c r="B3" s="198" t="str">
        <f>CONCATENATE("KV-BBG  ",B2," €")</f>
        <v>KV-BBG  4987,5 €</v>
      </c>
      <c r="C3" s="25" t="s">
        <v>12</v>
      </c>
      <c r="D3" s="26" t="s">
        <v>16</v>
      </c>
      <c r="E3" s="26" t="s">
        <v>18</v>
      </c>
      <c r="F3" s="25" t="s">
        <v>149</v>
      </c>
      <c r="G3" s="25" t="s">
        <v>1</v>
      </c>
      <c r="H3" s="158" t="str">
        <f>CONCATENATE("steuerfrei ",H2*10)</f>
        <v>steuerfrei 70080</v>
      </c>
      <c r="I3" s="158" t="str">
        <f>CONCATENATE("steuerfrei ",I2*10)</f>
        <v>steuerfrei 35040</v>
      </c>
      <c r="J3" s="25" t="s">
        <v>20</v>
      </c>
      <c r="K3" s="25" t="s">
        <v>20</v>
      </c>
      <c r="L3" s="25" t="s">
        <v>25</v>
      </c>
      <c r="M3" s="25" t="s">
        <v>26</v>
      </c>
      <c r="N3" s="36" t="s">
        <v>139</v>
      </c>
      <c r="O3" s="36" t="s">
        <v>142</v>
      </c>
      <c r="P3" s="36" t="s">
        <v>140</v>
      </c>
      <c r="Q3" s="36" t="s">
        <v>141</v>
      </c>
      <c r="R3" s="36" t="s">
        <v>148</v>
      </c>
      <c r="S3" s="36" t="s">
        <v>152</v>
      </c>
      <c r="T3" s="36" t="s">
        <v>153</v>
      </c>
      <c r="U3" s="36" t="s">
        <v>143</v>
      </c>
      <c r="V3" s="38" t="s">
        <v>144</v>
      </c>
    </row>
    <row r="4" spans="1:22" ht="23.25" customHeight="1" thickTop="1" thickBot="1" x14ac:dyDescent="0.35">
      <c r="A4" s="205">
        <f>Berechnung!A4</f>
        <v>7300</v>
      </c>
      <c r="B4" s="24" t="s">
        <v>10</v>
      </c>
      <c r="C4" s="7" t="s">
        <v>150</v>
      </c>
      <c r="D4" s="21">
        <v>0.08</v>
      </c>
      <c r="E4" s="21">
        <v>0.04</v>
      </c>
      <c r="F4" s="27" t="s">
        <v>30</v>
      </c>
      <c r="G4" s="22"/>
      <c r="H4" s="28">
        <v>0.08</v>
      </c>
      <c r="I4" s="29">
        <v>0.04</v>
      </c>
      <c r="J4" s="28">
        <v>0.08</v>
      </c>
      <c r="K4" s="29">
        <v>0.04</v>
      </c>
      <c r="L4" s="30"/>
      <c r="M4" s="30"/>
      <c r="N4" s="37"/>
      <c r="O4" s="30"/>
      <c r="P4" s="30"/>
      <c r="Q4" s="30"/>
      <c r="R4" s="63">
        <v>36000</v>
      </c>
      <c r="S4" s="64">
        <v>0.01</v>
      </c>
      <c r="T4" s="39"/>
      <c r="U4" s="69">
        <f>0.073+0.01275</f>
        <v>8.5749999999999993E-2</v>
      </c>
      <c r="V4" s="69">
        <f>0.015+0.0935</f>
        <v>0.1085</v>
      </c>
    </row>
    <row r="5" spans="1:22" ht="15" hidden="1" thickTop="1" x14ac:dyDescent="0.3">
      <c r="A5" s="17" t="s">
        <v>3</v>
      </c>
      <c r="B5" s="41"/>
      <c r="C5" s="42"/>
      <c r="D5" s="8">
        <f>D4*A4</f>
        <v>584</v>
      </c>
      <c r="E5" s="10"/>
      <c r="F5" s="41"/>
      <c r="G5" s="42"/>
      <c r="H5" s="10"/>
      <c r="I5" s="10"/>
      <c r="J5" s="41"/>
      <c r="K5" s="48"/>
      <c r="L5" s="48"/>
      <c r="M5" s="48"/>
      <c r="N5" s="49"/>
      <c r="O5" s="49"/>
      <c r="P5" s="49"/>
      <c r="Q5" s="49"/>
      <c r="R5" s="49"/>
      <c r="S5" s="49"/>
      <c r="T5" s="49"/>
      <c r="U5" s="49"/>
      <c r="V5" s="56"/>
    </row>
    <row r="6" spans="1:22" ht="15" hidden="1" thickBot="1" x14ac:dyDescent="0.35">
      <c r="A6" s="18" t="s">
        <v>4</v>
      </c>
      <c r="B6" s="43"/>
      <c r="C6" s="44"/>
      <c r="D6" s="9">
        <f>D5*12</f>
        <v>7008</v>
      </c>
      <c r="E6" s="10"/>
      <c r="F6" s="43"/>
      <c r="G6" s="44"/>
      <c r="H6" s="10"/>
      <c r="I6" s="10"/>
      <c r="J6" s="43"/>
      <c r="K6" s="47"/>
      <c r="L6" s="47"/>
      <c r="M6" s="47"/>
      <c r="N6" s="47"/>
      <c r="O6" s="47"/>
      <c r="P6" s="47"/>
      <c r="Q6" s="47"/>
      <c r="R6" s="47"/>
      <c r="S6" s="47"/>
      <c r="T6" s="47"/>
      <c r="U6" s="47"/>
      <c r="V6" s="57"/>
    </row>
    <row r="7" spans="1:22" ht="15" hidden="1" thickTop="1" x14ac:dyDescent="0.3">
      <c r="A7" s="17" t="s">
        <v>5</v>
      </c>
      <c r="B7" s="41"/>
      <c r="C7" s="45"/>
      <c r="D7" s="42"/>
      <c r="E7" s="8">
        <f>E4*A4</f>
        <v>292</v>
      </c>
      <c r="F7" s="41"/>
      <c r="G7" s="42"/>
      <c r="H7" s="10"/>
      <c r="I7" s="10"/>
      <c r="J7" s="41"/>
      <c r="K7" s="48"/>
      <c r="L7" s="48"/>
      <c r="M7" s="48"/>
      <c r="N7" s="48"/>
      <c r="O7" s="48"/>
      <c r="P7" s="48"/>
      <c r="Q7" s="48"/>
      <c r="R7" s="48"/>
      <c r="S7" s="48"/>
      <c r="T7" s="48"/>
      <c r="U7" s="48"/>
      <c r="V7" s="58"/>
    </row>
    <row r="8" spans="1:22" ht="15" hidden="1" thickBot="1" x14ac:dyDescent="0.35">
      <c r="A8" s="18" t="s">
        <v>6</v>
      </c>
      <c r="B8" s="43"/>
      <c r="C8" s="43"/>
      <c r="D8" s="44"/>
      <c r="E8" s="9">
        <f>E7*12</f>
        <v>3504</v>
      </c>
      <c r="F8" s="43"/>
      <c r="G8" s="44"/>
      <c r="H8" s="10"/>
      <c r="I8" s="10"/>
      <c r="J8" s="43"/>
      <c r="K8" s="47"/>
      <c r="L8" s="47"/>
      <c r="M8" s="47"/>
      <c r="N8" s="47"/>
      <c r="O8" s="47"/>
      <c r="P8" s="47"/>
      <c r="Q8" s="47"/>
      <c r="R8" s="47"/>
      <c r="S8" s="47"/>
      <c r="T8" s="47"/>
      <c r="U8" s="47"/>
      <c r="V8" s="57"/>
    </row>
    <row r="9" spans="1:22" ht="15" hidden="1" thickTop="1" x14ac:dyDescent="0.3">
      <c r="A9" s="17" t="s">
        <v>2</v>
      </c>
      <c r="B9" s="41"/>
      <c r="C9" s="41"/>
      <c r="D9" s="46"/>
      <c r="E9" s="52"/>
      <c r="F9" s="41"/>
      <c r="G9" s="42"/>
      <c r="H9" s="11">
        <f>H4*A4</f>
        <v>584</v>
      </c>
      <c r="I9" s="10"/>
      <c r="J9" s="41"/>
      <c r="K9" s="48"/>
      <c r="L9" s="48"/>
      <c r="M9" s="48"/>
      <c r="N9" s="48"/>
      <c r="O9" s="48"/>
      <c r="P9" s="48"/>
      <c r="Q9" s="48"/>
      <c r="R9" s="48"/>
      <c r="S9" s="48"/>
      <c r="T9" s="48"/>
      <c r="U9" s="48"/>
      <c r="V9" s="58"/>
    </row>
    <row r="10" spans="1:22" ht="15" hidden="1" thickBot="1" x14ac:dyDescent="0.35">
      <c r="A10" s="18" t="s">
        <v>7</v>
      </c>
      <c r="B10" s="43"/>
      <c r="C10" s="43"/>
      <c r="D10" s="47"/>
      <c r="E10" s="47"/>
      <c r="F10" s="43"/>
      <c r="G10" s="44"/>
      <c r="H10" s="12">
        <f>H4*A4*12</f>
        <v>7008</v>
      </c>
      <c r="I10" s="10"/>
      <c r="J10" s="43"/>
      <c r="K10" s="47"/>
      <c r="L10" s="47"/>
      <c r="M10" s="47"/>
      <c r="N10" s="47"/>
      <c r="O10" s="47"/>
      <c r="P10" s="47"/>
      <c r="Q10" s="47"/>
      <c r="R10" s="47"/>
      <c r="S10" s="47"/>
      <c r="T10" s="47"/>
      <c r="U10" s="47"/>
      <c r="V10" s="57"/>
    </row>
    <row r="11" spans="1:22" ht="15" hidden="1" thickTop="1" x14ac:dyDescent="0.3">
      <c r="A11" s="19" t="s">
        <v>8</v>
      </c>
      <c r="B11" s="41"/>
      <c r="C11" s="41"/>
      <c r="D11" s="48"/>
      <c r="E11" s="48"/>
      <c r="F11" s="41"/>
      <c r="G11" s="46"/>
      <c r="H11" s="42"/>
      <c r="I11" s="13">
        <f>I4*A4</f>
        <v>292</v>
      </c>
      <c r="J11" s="41"/>
      <c r="K11" s="48"/>
      <c r="L11" s="48"/>
      <c r="M11" s="48"/>
      <c r="N11" s="48"/>
      <c r="O11" s="48"/>
      <c r="P11" s="48"/>
      <c r="Q11" s="48"/>
      <c r="R11" s="48"/>
      <c r="S11" s="48"/>
      <c r="T11" s="48"/>
      <c r="U11" s="48"/>
      <c r="V11" s="58"/>
    </row>
    <row r="12" spans="1:22" ht="15" hidden="1" thickBot="1" x14ac:dyDescent="0.35">
      <c r="A12" s="20" t="s">
        <v>9</v>
      </c>
      <c r="B12" s="41"/>
      <c r="C12" s="41"/>
      <c r="D12" s="48"/>
      <c r="E12" s="48"/>
      <c r="F12" s="41"/>
      <c r="G12" s="48"/>
      <c r="H12" s="54"/>
      <c r="I12" s="14">
        <f>I11*12</f>
        <v>3504</v>
      </c>
      <c r="J12" s="41"/>
      <c r="K12" s="48"/>
      <c r="L12" s="55"/>
      <c r="M12" s="55"/>
      <c r="N12" s="48"/>
      <c r="O12" s="48"/>
      <c r="P12" s="48"/>
      <c r="Q12" s="48"/>
      <c r="R12" s="55"/>
      <c r="S12" s="48"/>
      <c r="T12" s="48"/>
      <c r="U12" s="48"/>
      <c r="V12" s="58"/>
    </row>
    <row r="13" spans="1:22" ht="30" hidden="1" thickTop="1" thickBot="1" x14ac:dyDescent="0.35">
      <c r="A13" s="62" t="s">
        <v>151</v>
      </c>
      <c r="B13" s="40"/>
      <c r="C13" s="40"/>
      <c r="D13" s="49"/>
      <c r="E13" s="49"/>
      <c r="F13" s="40"/>
      <c r="G13" s="49"/>
      <c r="H13" s="49"/>
      <c r="I13" s="73"/>
      <c r="J13" s="74" t="s">
        <v>22</v>
      </c>
      <c r="K13" s="74" t="s">
        <v>22</v>
      </c>
      <c r="L13" s="41"/>
      <c r="M13" s="51"/>
      <c r="N13" s="91" t="s">
        <v>24</v>
      </c>
      <c r="O13" s="92" t="s">
        <v>11</v>
      </c>
      <c r="P13" s="93">
        <v>0</v>
      </c>
      <c r="Q13" s="93">
        <v>0</v>
      </c>
      <c r="R13" s="51"/>
      <c r="S13" s="98">
        <f>S4*R4</f>
        <v>360</v>
      </c>
      <c r="T13" s="100" t="str">
        <f>IF(S14="SockelB 60€:",60,IF(  T14&gt;2100,"Betrag über 2.100                      % reduzieren", " im Förderlimit"))</f>
        <v xml:space="preserve"> im Förderlimit</v>
      </c>
      <c r="U13" s="103" t="str">
        <f>IF(U14=0,"größer KV- BBG","Betrag unterhalb KV-BBG")</f>
        <v>Betrag unterhalb KV-BBG</v>
      </c>
      <c r="V13" s="104" t="str">
        <f>IF(V14=0,"größer RV-BBG","Betrag unterhalb RV-BBG")</f>
        <v>Betrag unterhalb RV-BBG</v>
      </c>
    </row>
    <row r="14" spans="1:22" ht="15.6" hidden="1" thickTop="1" thickBot="1" x14ac:dyDescent="0.35">
      <c r="A14" s="31" t="s">
        <v>13</v>
      </c>
      <c r="B14" s="66">
        <v>300</v>
      </c>
      <c r="C14" s="50"/>
      <c r="D14" s="32">
        <f>IF(B14&lt;=$D$5,B14,$D$5)</f>
        <v>300</v>
      </c>
      <c r="E14" s="32">
        <f>IF(B14&lt;=$E$7,B14,$E$7)</f>
        <v>292</v>
      </c>
      <c r="F14" s="51"/>
      <c r="G14" s="68" t="s">
        <v>24</v>
      </c>
      <c r="H14" s="41"/>
      <c r="I14" s="51"/>
      <c r="J14" s="10"/>
      <c r="K14" s="10"/>
      <c r="L14" s="41"/>
      <c r="M14" s="51"/>
      <c r="N14" s="94">
        <f>IF(N13="J",IF(S4&lt;=0.04,(S4/0.04)*175,175),0)</f>
        <v>43.75</v>
      </c>
      <c r="O14" s="95">
        <f>IF(O13="J",200,)</f>
        <v>0</v>
      </c>
      <c r="P14" s="95">
        <f>P13*185</f>
        <v>0</v>
      </c>
      <c r="Q14" s="95">
        <f>Q13*300</f>
        <v>0</v>
      </c>
      <c r="R14" s="51"/>
      <c r="S14" s="99">
        <f>IF(  ((S4*R4)-N14-O14-P14-Q14)&lt;60,"SockelB 60€:",((S4*R4)-N14-O14-P14-Q14))</f>
        <v>316.25</v>
      </c>
      <c r="T14" s="101">
        <f xml:space="preserve">   IF(S14&lt;&gt;"SockelB 60€:",                      S13+(N14+O14+P14+Q14),60+  (N14+O14+P14+Q14))</f>
        <v>403.75</v>
      </c>
      <c r="U14" s="105">
        <f xml:space="preserve">   IF(                         (0.68503937007874 *$A$4) - ($V$2/12)&gt;0,(0.68503937007874 *$A$4) - ($V$2/12),0)</f>
        <v>2000.7874015748021</v>
      </c>
      <c r="V14" s="106">
        <f>IF(($A$4)-($V$2/12)&gt;0,($A$4)-($V$2/12),0)</f>
        <v>4300</v>
      </c>
    </row>
    <row r="15" spans="1:22" ht="15.6" hidden="1" thickTop="1" thickBot="1" x14ac:dyDescent="0.35">
      <c r="A15" s="34" t="s">
        <v>14</v>
      </c>
      <c r="B15" s="70">
        <v>1000</v>
      </c>
      <c r="C15" s="67">
        <v>0</v>
      </c>
      <c r="D15" s="9">
        <f>IF(B15&lt;=$D$6,B15,$D$6)</f>
        <v>1000</v>
      </c>
      <c r="E15" s="9">
        <f>IF(B15&lt;=$E$8,B15,$E$8)</f>
        <v>1000</v>
      </c>
      <c r="F15" s="33" t="str">
        <f>IF(G14="J",IF(C15&gt;=240,IF(C15&lt;=480,0.3*C15,0.3*480),"Keine Förderung"),"Keine Förderung")</f>
        <v>Keine Förderung</v>
      </c>
      <c r="G15" s="53"/>
      <c r="H15" s="55"/>
      <c r="I15" s="54"/>
      <c r="J15" s="9">
        <f>IF($A16="40b Betrag überschritten",D$6-2148,$D$6-B15)</f>
        <v>6008</v>
      </c>
      <c r="K15" s="9">
        <f>IF($A16="§ 40b Altzusage Betrag überschritten",$E$8-1752,$E$8-B15)</f>
        <v>2504</v>
      </c>
      <c r="L15" s="41"/>
      <c r="M15" s="41"/>
      <c r="N15" s="41"/>
      <c r="O15" s="41"/>
      <c r="P15" s="41"/>
      <c r="Q15" s="41"/>
      <c r="R15" s="41"/>
      <c r="S15" s="41"/>
      <c r="T15" s="51"/>
      <c r="U15" s="107" t="str">
        <f>IF(U16&gt;0,"Ersparnis","keine Ersparnis")</f>
        <v>Ersparnis</v>
      </c>
      <c r="V15" s="108" t="str">
        <f>IF(V16&gt;0,"Ersparnis","keine Ersparnis")</f>
        <v>Ersparnis</v>
      </c>
    </row>
    <row r="16" spans="1:22" ht="26.25" hidden="1" customHeight="1" thickTop="1" thickBot="1" x14ac:dyDescent="0.35">
      <c r="A16" s="62" t="s">
        <v>19</v>
      </c>
      <c r="B16" s="41"/>
      <c r="C16" s="41"/>
      <c r="D16" s="48"/>
      <c r="E16" s="48"/>
      <c r="F16" s="41"/>
      <c r="G16" s="48"/>
      <c r="H16" s="48"/>
      <c r="I16" s="41"/>
      <c r="J16" s="76"/>
      <c r="K16" s="77"/>
      <c r="L16" s="48"/>
      <c r="M16" s="41"/>
      <c r="N16" s="41"/>
      <c r="O16" s="41"/>
      <c r="P16" s="41"/>
      <c r="Q16" s="41"/>
      <c r="R16" s="41"/>
      <c r="S16" s="41"/>
      <c r="T16" s="51"/>
      <c r="U16" s="109">
        <f>IF($B$14&gt;0,IF(   U14 &gt;= $B$14,$B$14*U4, U14*U4 ),"kein Betrag" )</f>
        <v>25.724999999999998</v>
      </c>
      <c r="V16" s="110">
        <f>IF($B$14&gt;0,IF(   V14 &gt;= $B$14,$B$14*V4, V14*V4 ),"kein Betrag" )</f>
        <v>32.549999999999997</v>
      </c>
    </row>
    <row r="17" spans="1:22" ht="15.6" hidden="1" thickTop="1" thickBot="1" x14ac:dyDescent="0.35">
      <c r="A17" s="31" t="s">
        <v>13</v>
      </c>
      <c r="B17" s="66">
        <v>0</v>
      </c>
      <c r="C17" s="50"/>
      <c r="D17" s="32">
        <f>IF(B17&lt;=$D$5,B17,$D$5)</f>
        <v>0</v>
      </c>
      <c r="E17" s="32">
        <f>IF(B17&lt;=$E$7,B17,$E$7)</f>
        <v>0</v>
      </c>
      <c r="F17" s="51"/>
      <c r="G17" s="71" t="s">
        <v>11</v>
      </c>
      <c r="H17" s="32">
        <f>IF($B17&lt;=H9,$B17,H9)</f>
        <v>0</v>
      </c>
      <c r="I17" s="32">
        <f>IF($B17&lt;=I11,$B17,I11)</f>
        <v>0</v>
      </c>
      <c r="J17" s="76"/>
      <c r="K17" s="77"/>
      <c r="L17" s="48"/>
      <c r="M17" s="41"/>
      <c r="N17" s="41"/>
      <c r="O17" s="41"/>
      <c r="P17" s="41"/>
      <c r="Q17" s="41"/>
      <c r="R17" s="41"/>
      <c r="S17" s="41"/>
      <c r="T17" s="51"/>
      <c r="U17" s="403" t="s">
        <v>145</v>
      </c>
      <c r="V17" s="102">
        <v>0.15</v>
      </c>
    </row>
    <row r="18" spans="1:22" ht="15.6" hidden="1" thickTop="1" thickBot="1" x14ac:dyDescent="0.35">
      <c r="A18" s="34" t="s">
        <v>14</v>
      </c>
      <c r="B18" s="70">
        <v>0</v>
      </c>
      <c r="C18" s="67">
        <v>0</v>
      </c>
      <c r="D18" s="9">
        <f>IF(B18&lt;=$D$6,B18,$D$6)</f>
        <v>0</v>
      </c>
      <c r="E18" s="9">
        <f>IF(B18&lt;=$E$8,B18,$E$8)</f>
        <v>0</v>
      </c>
      <c r="F18" s="35" t="str">
        <f>IF(G17="J",IF(C18&gt;=240,IF(C18&lt;=480,0.3*C18,0.3*480),"Keine Förderung"),"Keine Förderung")</f>
        <v>Keine Förderung</v>
      </c>
      <c r="G18" s="72"/>
      <c r="H18" s="9">
        <f>IF($B18&lt;=H10,$B18,H10)</f>
        <v>0</v>
      </c>
      <c r="I18" s="9">
        <f>IF($B18&lt;=I12,$B18,I12)</f>
        <v>0</v>
      </c>
      <c r="J18" s="75">
        <f>IF($A19="40b Betrag überschritten",D$6-2148,$D$6-B18)</f>
        <v>7008</v>
      </c>
      <c r="K18" s="75">
        <f>IF($A19="§ 40b Altzusage Betrag überschritten",$E$8-1752,$E$8-B18)</f>
        <v>3504</v>
      </c>
      <c r="L18" s="53"/>
      <c r="M18" s="59"/>
      <c r="N18" s="59"/>
      <c r="O18" s="59"/>
      <c r="P18" s="59"/>
      <c r="Q18" s="55"/>
      <c r="R18" s="59"/>
      <c r="S18" s="59"/>
      <c r="T18" s="54"/>
      <c r="U18" s="404"/>
      <c r="V18" s="75">
        <f>IF(U17="Nur SV-Ersparnis ",(U16+V16),(V17*$B$14))</f>
        <v>58.274999999999991</v>
      </c>
    </row>
    <row r="19" spans="1:22" ht="15.6" hidden="1" thickTop="1" thickBot="1" x14ac:dyDescent="0.35">
      <c r="A19" s="86" t="s">
        <v>154</v>
      </c>
      <c r="B19" s="113"/>
      <c r="C19" s="41"/>
      <c r="D19" s="61"/>
      <c r="E19" s="52"/>
      <c r="F19" s="52"/>
      <c r="G19" s="82"/>
      <c r="H19" s="61"/>
      <c r="I19" s="51"/>
      <c r="J19" s="90"/>
      <c r="K19" s="89"/>
      <c r="L19" s="41"/>
      <c r="M19" s="48"/>
      <c r="N19" s="41"/>
      <c r="O19" s="41"/>
      <c r="P19" s="41"/>
      <c r="Q19" s="41"/>
      <c r="R19" s="41"/>
      <c r="S19" s="41"/>
      <c r="T19" s="41"/>
      <c r="U19" s="41"/>
      <c r="V19" s="97"/>
    </row>
    <row r="20" spans="1:22" ht="15.6" hidden="1"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15.6" hidden="1" thickTop="1" thickBot="1" x14ac:dyDescent="0.35">
      <c r="A21" s="84" t="s">
        <v>23</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hidden="1"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hidden="1"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30" hidden="1" thickTop="1" thickBot="1" x14ac:dyDescent="0.35">
      <c r="A24" s="112" t="s">
        <v>156</v>
      </c>
      <c r="B24" s="80">
        <v>0</v>
      </c>
      <c r="C24" s="79">
        <v>0</v>
      </c>
      <c r="D24" s="53"/>
      <c r="E24" s="60"/>
      <c r="F24" s="81" t="str">
        <f>IF(G24="J",IF(C24&gt;=240,IF(C24&lt;=480,0.3*C24,0.3*480),"Keine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40.65" customHeight="1" thickTop="1" thickBot="1" x14ac:dyDescent="0.35">
      <c r="A25" s="139" t="s">
        <v>165</v>
      </c>
      <c r="B25" s="80">
        <v>0</v>
      </c>
      <c r="C25" s="121"/>
      <c r="D25" s="49"/>
      <c r="E25" s="49"/>
      <c r="F25" s="49"/>
      <c r="G25" s="49"/>
      <c r="H25" s="48"/>
      <c r="I25" s="48"/>
      <c r="J25" s="48"/>
      <c r="K25" s="125"/>
      <c r="L25" s="49"/>
      <c r="M25" s="41"/>
      <c r="N25" s="41"/>
      <c r="O25" s="41"/>
      <c r="P25" s="41"/>
      <c r="Q25" s="41"/>
      <c r="R25" s="41"/>
      <c r="S25" s="41"/>
      <c r="T25" s="41"/>
      <c r="U25" s="41"/>
      <c r="V25" s="97"/>
    </row>
    <row r="26" spans="1:22" ht="15.6" thickTop="1" thickBot="1" x14ac:dyDescent="0.35">
      <c r="A26" s="138" t="s">
        <v>27</v>
      </c>
      <c r="B26" s="120">
        <v>40178</v>
      </c>
      <c r="C26" s="122"/>
      <c r="D26" s="48"/>
      <c r="E26" s="48"/>
      <c r="F26" s="48"/>
      <c r="G26" s="48"/>
      <c r="H26" s="48"/>
      <c r="I26" s="48"/>
      <c r="J26" s="48"/>
      <c r="K26" s="48"/>
      <c r="L26" s="48"/>
      <c r="M26" s="41"/>
      <c r="N26" s="41"/>
      <c r="O26" s="41"/>
      <c r="P26" s="41"/>
      <c r="Q26" s="41"/>
      <c r="R26" s="41"/>
      <c r="S26" s="41"/>
      <c r="T26" s="41"/>
      <c r="U26" s="41"/>
      <c r="V26" s="97"/>
    </row>
    <row r="27" spans="1:22" ht="15.6" thickTop="1" thickBot="1" x14ac:dyDescent="0.35">
      <c r="A27" s="138" t="s">
        <v>28</v>
      </c>
      <c r="B27" s="120">
        <v>40543</v>
      </c>
      <c r="C27" s="122"/>
      <c r="D27" s="48"/>
      <c r="E27" s="48"/>
      <c r="F27" s="48"/>
      <c r="G27" s="48"/>
      <c r="H27" s="48"/>
      <c r="I27" s="48"/>
      <c r="J27" s="48"/>
      <c r="K27" s="48"/>
      <c r="L27" s="48"/>
      <c r="M27" s="41"/>
      <c r="N27" s="41"/>
      <c r="O27" s="41"/>
      <c r="P27" s="41"/>
      <c r="Q27" s="41"/>
      <c r="R27" s="41"/>
      <c r="S27" s="41"/>
      <c r="T27" s="41"/>
      <c r="U27" s="41"/>
      <c r="V27" s="97"/>
    </row>
    <row r="28" spans="1:22" ht="15.6" thickTop="1" thickBot="1" x14ac:dyDescent="0.35">
      <c r="A28" s="138" t="s">
        <v>31</v>
      </c>
      <c r="B28" s="128">
        <f>IF((DATEDIF($B$26,$B$27,"y")*12)+(DATEDIF($B$26,$B$27,"ym")+((DATEDIF($B$26,$B$27,"md")/30)))&lt;=120,(DATEDIF($B$26,$B$27,"y")*12)+(DATEDIF($B$26,$B$27,"ym")+((DATEDIF($B$26,$B$27,"md")/30))),120)</f>
        <v>12</v>
      </c>
      <c r="C28" s="122"/>
      <c r="D28" s="48"/>
      <c r="E28" s="48"/>
      <c r="F28" s="48"/>
      <c r="G28" s="48"/>
      <c r="H28" s="48"/>
      <c r="I28" s="48"/>
      <c r="J28" s="190"/>
      <c r="K28" s="48"/>
      <c r="L28" s="48"/>
      <c r="M28" s="41"/>
      <c r="N28" s="41"/>
      <c r="O28" s="41"/>
      <c r="P28" s="41"/>
      <c r="Q28" s="41"/>
      <c r="R28" s="41"/>
      <c r="S28" s="41"/>
      <c r="T28" s="41"/>
      <c r="U28" s="41"/>
      <c r="V28" s="97"/>
    </row>
    <row r="29" spans="1:22" ht="28.5" customHeight="1" thickTop="1" thickBot="1" x14ac:dyDescent="0.35">
      <c r="A29" s="191" t="str">
        <f>CONCATENATE("Beschäftigungszeitraum beträgt:    ",DATEDIF($B$26,$B$27,"y")," Jahr(e)  ",DATEDIF($B$26,$B$27,"ym")," Monate ",DATEDIF($B$26,$B$27,"MD")," Tage"," -&gt; volle Jahre (max):")</f>
        <v>Beschäftigungszeitraum beträgt:    1 Jahr(e)  0 Monate 0 Tage -&gt; volle Jahre (max):</v>
      </c>
      <c r="B29" s="201">
        <f>IF(DATEDIF($B$26,$B$27,"y")&gt;10,10,DATEDIF($B$26,$B$27,"y"))</f>
        <v>1</v>
      </c>
      <c r="C29" s="192"/>
      <c r="D29" s="193"/>
      <c r="E29" s="193"/>
      <c r="F29" s="193"/>
      <c r="G29" s="194"/>
      <c r="H29" s="195"/>
      <c r="I29" s="196">
        <f>IF(B29&gt;10,IF(B25&lt;=10*I2,B25,I2*10),IF(B25&lt;=B29*I2,B25,B29*I2))</f>
        <v>0</v>
      </c>
      <c r="J29" s="195"/>
      <c r="K29" s="196">
        <f>IF(B25&lt;B29*I2,B29*I2-B25,0)</f>
        <v>3504</v>
      </c>
      <c r="L29" s="197">
        <f>IF(J29=0,B25-I29,)</f>
        <v>0</v>
      </c>
      <c r="M29" s="53"/>
      <c r="N29" s="55"/>
      <c r="O29" s="59"/>
      <c r="P29" s="59"/>
      <c r="Q29" s="59"/>
      <c r="R29" s="59"/>
      <c r="S29" s="59"/>
      <c r="T29" s="59"/>
      <c r="U29" s="59"/>
      <c r="V29" s="111"/>
    </row>
    <row r="30" spans="1:22" ht="61.2" thickTop="1" thickBot="1" x14ac:dyDescent="0.35">
      <c r="A30" s="142" t="s">
        <v>166</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thickTop="1" thickBot="1" x14ac:dyDescent="0.35">
      <c r="A31" s="140" t="s">
        <v>32</v>
      </c>
      <c r="B31" s="120">
        <v>40178</v>
      </c>
      <c r="C31" s="41"/>
      <c r="D31" s="48"/>
      <c r="E31" s="48"/>
      <c r="F31" s="48"/>
      <c r="G31" s="48"/>
      <c r="H31" s="48"/>
      <c r="I31" s="48"/>
      <c r="J31" s="48"/>
      <c r="K31" s="48"/>
      <c r="L31" s="48"/>
      <c r="M31" s="41"/>
      <c r="N31" s="41"/>
      <c r="O31" s="41"/>
      <c r="P31" s="41"/>
      <c r="Q31" s="41"/>
      <c r="R31" s="41"/>
      <c r="S31" s="41"/>
      <c r="T31" s="41"/>
      <c r="U31" s="41"/>
      <c r="V31" s="97"/>
    </row>
    <row r="32" spans="1:22" ht="15.6" thickTop="1" thickBot="1" x14ac:dyDescent="0.35">
      <c r="A32" s="140" t="s">
        <v>29</v>
      </c>
      <c r="B32" s="120">
        <v>40543</v>
      </c>
      <c r="C32" s="41"/>
      <c r="D32" s="48"/>
      <c r="E32" s="48"/>
      <c r="F32" s="48"/>
      <c r="G32" s="48"/>
      <c r="H32" s="48"/>
      <c r="I32" s="48"/>
      <c r="J32" s="48"/>
      <c r="K32" s="48"/>
      <c r="L32" s="48"/>
      <c r="M32" s="41"/>
      <c r="N32" s="41"/>
      <c r="O32" s="41"/>
      <c r="P32" s="41"/>
      <c r="Q32" s="41"/>
      <c r="R32" s="41"/>
      <c r="S32" s="41"/>
      <c r="T32" s="41"/>
      <c r="U32" s="41"/>
      <c r="V32" s="97"/>
    </row>
    <row r="33" spans="1:22" ht="15.6" thickTop="1" thickBot="1" x14ac:dyDescent="0.35">
      <c r="A33" s="140" t="s">
        <v>31</v>
      </c>
      <c r="B33" s="202">
        <f>IF((DATEDIF($B$31,$B$32,"y")*12)+(DATEDIF($B$31,$B$32,"ym")+((DATEDIF($B$31,$B$32,"md")/30)))&lt;=120,(DATEDIF($B$31,$B$32,"y")*12)+(DATEDIF($B$31,$B$32,"ym")+((DATEDIF($B$31,$B$32,"md")/30))),120)</f>
        <v>12</v>
      </c>
      <c r="C33" s="41"/>
      <c r="D33" s="48"/>
      <c r="E33" s="48"/>
      <c r="F33" s="48"/>
      <c r="G33" s="48"/>
      <c r="H33" s="48"/>
      <c r="I33" s="48"/>
      <c r="J33" s="48"/>
      <c r="K33" s="48"/>
      <c r="L33" s="48"/>
      <c r="M33" s="41"/>
      <c r="N33" s="41"/>
      <c r="O33" s="41"/>
      <c r="P33" s="41"/>
      <c r="Q33" s="41"/>
      <c r="R33" s="41"/>
      <c r="S33" s="41"/>
      <c r="T33" s="41"/>
      <c r="U33" s="41"/>
      <c r="V33" s="97"/>
    </row>
    <row r="34" spans="1:22" ht="21.75" customHeight="1" thickTop="1" thickBot="1" x14ac:dyDescent="0.35">
      <c r="A34" s="143" t="str">
        <f>CONCATENATE("Beschäftigungszeitraum beträgt:    ",DATEDIF($B$31,$B$32,"y")," Jahr(e)  ",DATEDIF($B$31,$B$32,"ym")," Monate ",DATEDIF($B$31,$B$32,"MD")," Tage"," -&gt; volle Jahre (max) :")</f>
        <v>Beschäftigungszeitraum beträgt:    1 Jahr(e)  0 Monate 0 Tage -&gt; volle Jahre (max) :</v>
      </c>
      <c r="B34" s="203">
        <f>IF(DATEDIF($B$31,$B$32,"y")&gt;10,10,DATEDIF($B$31,$B$32,"y"))</f>
        <v>1</v>
      </c>
      <c r="C34" s="83"/>
      <c r="D34" s="134"/>
      <c r="E34" s="134"/>
      <c r="F34" s="134"/>
      <c r="G34" s="135"/>
      <c r="H34" s="123">
        <f>IF(B34&gt;10,IF(B30&lt;=10*H2,B30,H2*10),IF(B30&lt;=B34*H2,B30,B34*H2))</f>
        <v>0</v>
      </c>
      <c r="I34" s="135"/>
      <c r="J34" s="124">
        <f>IF(B30&lt;B34*H2,B34*H2-B30,0)</f>
        <v>7008</v>
      </c>
      <c r="K34" s="135"/>
      <c r="L34" s="75">
        <f>IF(J34=0,B30-H34,)</f>
        <v>0</v>
      </c>
      <c r="M34" s="83"/>
      <c r="N34" s="83"/>
      <c r="O34" s="83"/>
      <c r="P34" s="83"/>
      <c r="Q34" s="83"/>
      <c r="R34" s="83"/>
      <c r="S34" s="83"/>
      <c r="T34" s="83"/>
      <c r="U34" s="83"/>
      <c r="V34" s="136"/>
    </row>
    <row r="35" spans="1:22" ht="15" thickTop="1" x14ac:dyDescent="0.3"/>
    <row r="408" spans="5:5" x14ac:dyDescent="0.3">
      <c r="E408">
        <v>3</v>
      </c>
    </row>
  </sheetData>
  <sheetProtection sheet="1" objects="1" scenarios="1"/>
  <mergeCells count="1">
    <mergeCell ref="U17:U18"/>
  </mergeCells>
  <dataValidations disablePrompts="1" count="2">
    <dataValidation type="list" showInputMessage="1" showErrorMessage="1" promptTitle=" AG-SV Beitrag" prompt="AG-SV-Zusatz-Beitrag - freiwillig %-Satz ?" sqref="U17" xr:uid="{00000000-0002-0000-0400-000000000000}">
      <formula1>"SV-Beitrag freiwillig %-Satz, Nur SV-Ersparnis "</formula1>
    </dataValidation>
    <dataValidation type="list" showInputMessage="1" showErrorMessage="1" sqref="G14 G17 N13:O13 G24 G20" xr:uid="{00000000-0002-0000-0400-000001000000}">
      <formula1>"J, N"</formula1>
    </dataValidation>
  </dataValidations>
  <pageMargins left="0.27" right="0.17" top="0.53" bottom="0.52" header="0.17" footer="0.3"/>
  <pageSetup paperSize="8"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08"/>
  <sheetViews>
    <sheetView zoomScaleNormal="100" workbookViewId="0">
      <selection activeCell="A2" sqref="A2"/>
    </sheetView>
  </sheetViews>
  <sheetFormatPr baseColWidth="10" defaultRowHeight="14.4" x14ac:dyDescent="0.3"/>
  <cols>
    <col min="1" max="1" width="33.6640625" customWidth="1"/>
    <col min="2" max="2" width="12.6640625" customWidth="1"/>
    <col min="3" max="3" width="15.6640625" hidden="1" customWidth="1"/>
    <col min="4" max="4" width="9.88671875" hidden="1" customWidth="1"/>
    <col min="5" max="5" width="8.6640625" hidden="1" customWidth="1"/>
    <col min="6" max="6" width="18.6640625" hidden="1" customWidth="1"/>
    <col min="7" max="7" width="9.88671875" hidden="1" customWidth="1"/>
    <col min="8" max="9" width="10.33203125" hidden="1" customWidth="1"/>
    <col min="10" max="11" width="10.5546875" hidden="1" customWidth="1"/>
    <col min="12" max="12" width="9.88671875" hidden="1" customWidth="1"/>
    <col min="13" max="13" width="10" hidden="1" customWidth="1"/>
    <col min="14" max="14" width="18" customWidth="1"/>
    <col min="15" max="15" width="11.88671875" bestFit="1" customWidth="1"/>
    <col min="16" max="16" width="18.88671875" customWidth="1"/>
    <col min="17" max="17" width="17.33203125" customWidth="1"/>
    <col min="18" max="18" width="14" customWidth="1"/>
    <col min="19" max="19" width="23" customWidth="1"/>
    <col min="20" max="20" width="16.6640625" customWidth="1"/>
    <col min="21" max="22" width="15.88671875" hidden="1" customWidth="1"/>
  </cols>
  <sheetData>
    <row r="1" spans="1:22" ht="18.600000000000001" thickBot="1" x14ac:dyDescent="0.4">
      <c r="A1" s="5" t="s">
        <v>0</v>
      </c>
      <c r="B1" s="5"/>
      <c r="C1" s="1"/>
    </row>
    <row r="2" spans="1:22" ht="40.65" customHeight="1" thickTop="1" thickBot="1" x14ac:dyDescent="0.35">
      <c r="A2" s="374" t="s">
        <v>240</v>
      </c>
      <c r="B2" s="373"/>
      <c r="O2" s="407" t="s">
        <v>239</v>
      </c>
      <c r="P2" s="407"/>
      <c r="Q2" s="407"/>
      <c r="R2" s="407"/>
      <c r="S2" s="407"/>
      <c r="T2" s="407"/>
      <c r="U2" s="6" t="s">
        <v>147</v>
      </c>
      <c r="V2" s="65">
        <v>36000</v>
      </c>
    </row>
    <row r="3" spans="1:22" ht="69" customHeight="1" thickBot="1" x14ac:dyDescent="0.35">
      <c r="A3" s="270" t="s">
        <v>146</v>
      </c>
      <c r="B3" s="288" t="str">
        <f>CONCATENATE("KV-BBG  ",B2," €")</f>
        <v>KV-BBG   €</v>
      </c>
      <c r="C3" s="26" t="s">
        <v>12</v>
      </c>
      <c r="D3" s="26" t="s">
        <v>16</v>
      </c>
      <c r="E3" s="26" t="s">
        <v>18</v>
      </c>
      <c r="F3" s="26" t="s">
        <v>149</v>
      </c>
      <c r="G3" s="26" t="s">
        <v>1</v>
      </c>
      <c r="H3" s="26" t="s">
        <v>15</v>
      </c>
      <c r="I3" s="26" t="s">
        <v>17</v>
      </c>
      <c r="J3" s="26" t="s">
        <v>20</v>
      </c>
      <c r="K3" s="26" t="s">
        <v>21</v>
      </c>
      <c r="L3" s="26" t="s">
        <v>25</v>
      </c>
      <c r="M3" s="26" t="s">
        <v>26</v>
      </c>
      <c r="N3" s="36" t="s">
        <v>172</v>
      </c>
      <c r="O3" s="36" t="s">
        <v>171</v>
      </c>
      <c r="P3" s="36" t="s">
        <v>173</v>
      </c>
      <c r="Q3" s="36" t="s">
        <v>174</v>
      </c>
      <c r="R3" s="36" t="s">
        <v>183</v>
      </c>
      <c r="S3" s="36" t="s">
        <v>184</v>
      </c>
      <c r="T3" s="36" t="s">
        <v>153</v>
      </c>
      <c r="U3" s="36" t="s">
        <v>143</v>
      </c>
      <c r="V3" s="38" t="s">
        <v>144</v>
      </c>
    </row>
    <row r="4" spans="1:22" ht="30" thickTop="1" thickBot="1" x14ac:dyDescent="0.35">
      <c r="A4" s="271">
        <v>6350</v>
      </c>
      <c r="B4" s="289" t="s">
        <v>10</v>
      </c>
      <c r="C4" s="290" t="s">
        <v>150</v>
      </c>
      <c r="D4" s="291">
        <v>0.08</v>
      </c>
      <c r="E4" s="291">
        <v>0.04</v>
      </c>
      <c r="F4" s="27" t="s">
        <v>30</v>
      </c>
      <c r="G4" s="292"/>
      <c r="H4" s="291">
        <v>0.08</v>
      </c>
      <c r="I4" s="291">
        <v>0.04</v>
      </c>
      <c r="J4" s="28">
        <v>0.08</v>
      </c>
      <c r="K4" s="29">
        <v>0.04</v>
      </c>
      <c r="L4" s="30"/>
      <c r="M4" s="30"/>
      <c r="N4" s="269" t="s">
        <v>181</v>
      </c>
      <c r="O4" s="375" t="s">
        <v>186</v>
      </c>
      <c r="P4" s="375" t="s">
        <v>185</v>
      </c>
      <c r="Q4" s="375" t="s">
        <v>185</v>
      </c>
      <c r="R4" s="63">
        <v>45000</v>
      </c>
      <c r="S4" s="303">
        <v>0.03</v>
      </c>
      <c r="T4" s="309"/>
      <c r="U4" s="307">
        <f>0.073+0.01275</f>
        <v>8.5749999999999993E-2</v>
      </c>
      <c r="V4" s="69">
        <f>0.015+0.0935</f>
        <v>0.1085</v>
      </c>
    </row>
    <row r="5" spans="1:22" ht="15.6" hidden="1" thickTop="1" thickBot="1" x14ac:dyDescent="0.35">
      <c r="A5" s="17" t="s">
        <v>3</v>
      </c>
      <c r="B5" s="41"/>
      <c r="C5" s="42"/>
      <c r="D5" s="8">
        <f>D4*A4</f>
        <v>508</v>
      </c>
      <c r="E5" s="10"/>
      <c r="F5" s="41"/>
      <c r="G5" s="42"/>
      <c r="H5" s="10"/>
      <c r="I5" s="10"/>
      <c r="J5" s="41"/>
      <c r="K5" s="48"/>
      <c r="L5" s="48"/>
      <c r="M5" s="48"/>
      <c r="N5" s="49"/>
      <c r="O5" s="49"/>
      <c r="P5" s="49"/>
      <c r="Q5" s="49"/>
      <c r="R5" s="49"/>
      <c r="S5" s="304"/>
      <c r="T5" s="48"/>
      <c r="U5" s="40"/>
      <c r="V5" s="56"/>
    </row>
    <row r="6" spans="1:22" ht="15" hidden="1" thickBot="1" x14ac:dyDescent="0.35">
      <c r="A6" s="18" t="s">
        <v>4</v>
      </c>
      <c r="B6" s="43"/>
      <c r="C6" s="44"/>
      <c r="D6" s="9">
        <f>D5*12</f>
        <v>6096</v>
      </c>
      <c r="E6" s="10"/>
      <c r="F6" s="43"/>
      <c r="G6" s="44"/>
      <c r="H6" s="10"/>
      <c r="I6" s="10"/>
      <c r="J6" s="43"/>
      <c r="K6" s="47"/>
      <c r="L6" s="47"/>
      <c r="M6" s="47"/>
      <c r="N6" s="47"/>
      <c r="O6" s="47"/>
      <c r="P6" s="47"/>
      <c r="Q6" s="47"/>
      <c r="R6" s="47"/>
      <c r="S6" s="305"/>
      <c r="T6" s="47"/>
      <c r="U6" s="43"/>
      <c r="V6" s="57"/>
    </row>
    <row r="7" spans="1:22" ht="15" hidden="1" thickTop="1" x14ac:dyDescent="0.3">
      <c r="A7" s="17" t="s">
        <v>5</v>
      </c>
      <c r="B7" s="41"/>
      <c r="C7" s="45"/>
      <c r="D7" s="42"/>
      <c r="E7" s="8">
        <f>E4*A4</f>
        <v>254</v>
      </c>
      <c r="F7" s="41"/>
      <c r="G7" s="42"/>
      <c r="H7" s="10"/>
      <c r="I7" s="10"/>
      <c r="J7" s="41"/>
      <c r="K7" s="48"/>
      <c r="L7" s="48"/>
      <c r="M7" s="48"/>
      <c r="N7" s="48"/>
      <c r="O7" s="48"/>
      <c r="P7" s="48"/>
      <c r="Q7" s="48"/>
      <c r="R7" s="48"/>
      <c r="S7" s="293"/>
      <c r="T7" s="48"/>
      <c r="U7" s="41"/>
      <c r="V7" s="58"/>
    </row>
    <row r="8" spans="1:22" ht="15" hidden="1" thickBot="1" x14ac:dyDescent="0.35">
      <c r="A8" s="18" t="s">
        <v>6</v>
      </c>
      <c r="B8" s="43"/>
      <c r="C8" s="43"/>
      <c r="D8" s="44"/>
      <c r="E8" s="9">
        <f>E7*12</f>
        <v>3048</v>
      </c>
      <c r="F8" s="43"/>
      <c r="G8" s="44"/>
      <c r="H8" s="10"/>
      <c r="I8" s="10"/>
      <c r="J8" s="43"/>
      <c r="K8" s="47"/>
      <c r="L8" s="47"/>
      <c r="M8" s="47"/>
      <c r="N8" s="47"/>
      <c r="O8" s="47"/>
      <c r="P8" s="47"/>
      <c r="Q8" s="47"/>
      <c r="R8" s="47"/>
      <c r="S8" s="305"/>
      <c r="T8" s="47"/>
      <c r="U8" s="43"/>
      <c r="V8" s="57"/>
    </row>
    <row r="9" spans="1:22" ht="15" hidden="1" thickTop="1" x14ac:dyDescent="0.3">
      <c r="A9" s="17" t="s">
        <v>2</v>
      </c>
      <c r="B9" s="41"/>
      <c r="C9" s="41"/>
      <c r="D9" s="46"/>
      <c r="E9" s="52"/>
      <c r="F9" s="41"/>
      <c r="G9" s="42"/>
      <c r="H9" s="11">
        <f>H4*A4</f>
        <v>508</v>
      </c>
      <c r="I9" s="10"/>
      <c r="J9" s="41"/>
      <c r="K9" s="48"/>
      <c r="L9" s="48"/>
      <c r="M9" s="48"/>
      <c r="N9" s="48"/>
      <c r="O9" s="48"/>
      <c r="P9" s="48"/>
      <c r="Q9" s="48"/>
      <c r="R9" s="48"/>
      <c r="S9" s="293"/>
      <c r="T9" s="48"/>
      <c r="U9" s="41"/>
      <c r="V9" s="58"/>
    </row>
    <row r="10" spans="1:22" ht="15" hidden="1" thickBot="1" x14ac:dyDescent="0.35">
      <c r="A10" s="18" t="s">
        <v>7</v>
      </c>
      <c r="B10" s="43"/>
      <c r="C10" s="43"/>
      <c r="D10" s="47"/>
      <c r="E10" s="47"/>
      <c r="F10" s="43"/>
      <c r="G10" s="44"/>
      <c r="H10" s="12">
        <f>H4*A4*12</f>
        <v>6096</v>
      </c>
      <c r="I10" s="10"/>
      <c r="J10" s="43"/>
      <c r="K10" s="47"/>
      <c r="L10" s="47"/>
      <c r="M10" s="47"/>
      <c r="N10" s="47"/>
      <c r="O10" s="47"/>
      <c r="P10" s="47"/>
      <c r="Q10" s="47"/>
      <c r="R10" s="47"/>
      <c r="S10" s="305"/>
      <c r="T10" s="47"/>
      <c r="U10" s="43"/>
      <c r="V10" s="57"/>
    </row>
    <row r="11" spans="1:22" ht="43.8" hidden="1" thickTop="1" x14ac:dyDescent="0.3">
      <c r="A11" s="19" t="s">
        <v>8</v>
      </c>
      <c r="B11" s="41"/>
      <c r="C11" s="41"/>
      <c r="D11" s="48"/>
      <c r="E11" s="48"/>
      <c r="F11" s="41"/>
      <c r="G11" s="46"/>
      <c r="H11" s="42"/>
      <c r="I11" s="13">
        <f>I4*A4</f>
        <v>254</v>
      </c>
      <c r="J11" s="41"/>
      <c r="K11" s="48"/>
      <c r="L11" s="48"/>
      <c r="M11" s="48"/>
      <c r="N11" s="48"/>
      <c r="O11" s="48"/>
      <c r="P11" s="48"/>
      <c r="Q11" s="48"/>
      <c r="R11" s="48"/>
      <c r="S11" s="293"/>
      <c r="T11" s="48"/>
      <c r="U11" s="41"/>
      <c r="V11" s="58"/>
    </row>
    <row r="12" spans="1:22" ht="43.8" hidden="1" thickBot="1" x14ac:dyDescent="0.35">
      <c r="A12" s="20" t="s">
        <v>9</v>
      </c>
      <c r="B12" s="41"/>
      <c r="C12" s="41"/>
      <c r="D12" s="48"/>
      <c r="E12" s="48"/>
      <c r="F12" s="41"/>
      <c r="G12" s="48"/>
      <c r="H12" s="54"/>
      <c r="I12" s="14">
        <f>I11*12</f>
        <v>3048</v>
      </c>
      <c r="J12" s="41"/>
      <c r="K12" s="48"/>
      <c r="L12" s="55"/>
      <c r="M12" s="55"/>
      <c r="N12" s="48"/>
      <c r="O12" s="48"/>
      <c r="P12" s="48"/>
      <c r="Q12" s="48"/>
      <c r="R12" s="48"/>
      <c r="S12" s="293"/>
      <c r="T12" s="48"/>
      <c r="U12" s="41"/>
      <c r="V12" s="58"/>
    </row>
    <row r="13" spans="1:22" ht="30" thickTop="1" thickBot="1" x14ac:dyDescent="0.35">
      <c r="A13" s="300" t="s">
        <v>182</v>
      </c>
      <c r="B13" s="299"/>
      <c r="C13" s="40"/>
      <c r="D13" s="49"/>
      <c r="E13" s="49"/>
      <c r="F13" s="40"/>
      <c r="G13" s="49"/>
      <c r="H13" s="49"/>
      <c r="I13" s="73"/>
      <c r="J13" s="74" t="s">
        <v>22</v>
      </c>
      <c r="K13" s="74" t="s">
        <v>22</v>
      </c>
      <c r="L13" s="41"/>
      <c r="M13" s="51"/>
      <c r="N13" s="297" t="s">
        <v>24</v>
      </c>
      <c r="O13" s="298" t="s">
        <v>11</v>
      </c>
      <c r="P13" s="295">
        <v>0</v>
      </c>
      <c r="Q13" s="296">
        <v>0</v>
      </c>
      <c r="R13" s="294" t="s">
        <v>178</v>
      </c>
      <c r="S13" s="306">
        <f>S4*R4</f>
        <v>1350</v>
      </c>
      <c r="T13" s="310" t="str">
        <f>IF(S14="SockelB 60€:",60,IF(  T14&gt;2100,"Betrag über 2.100                      % reduzieren", " im Förderlimit"))</f>
        <v xml:space="preserve"> im Förderlimit</v>
      </c>
      <c r="U13" s="308" t="str">
        <f>IF(U14=0,"größer KV- BBG","Betrag unterhalb KV-BBG")</f>
        <v>Betrag unterhalb KV-BBG</v>
      </c>
      <c r="V13" s="104" t="str">
        <f>IF(V14=0,"größer RV-BBG","Betrag unterhalb RV-BBG")</f>
        <v>Betrag unterhalb RV-BBG</v>
      </c>
    </row>
    <row r="14" spans="1:22" ht="33.75" customHeight="1" thickTop="1" thickBot="1" x14ac:dyDescent="0.35">
      <c r="A14" s="272" t="s">
        <v>177</v>
      </c>
      <c r="B14" s="311">
        <f>S13/12</f>
        <v>112.5</v>
      </c>
      <c r="C14" s="251"/>
      <c r="D14" s="257">
        <f>IF(B14&lt;=$D$5,B14,$D$5)</f>
        <v>112.5</v>
      </c>
      <c r="E14" s="257">
        <f>IF(B14&lt;=$E$7,B14,$E$7)</f>
        <v>112.5</v>
      </c>
      <c r="F14" s="251"/>
      <c r="G14" s="258" t="s">
        <v>24</v>
      </c>
      <c r="H14" s="224"/>
      <c r="I14" s="251"/>
      <c r="J14" s="227"/>
      <c r="K14" s="227"/>
      <c r="L14" s="224"/>
      <c r="M14" s="251"/>
      <c r="N14" s="312">
        <f>IF(N13="J",IF(S4&lt;=0.04,(S4/0.04)*175,175),0)</f>
        <v>131.25</v>
      </c>
      <c r="O14" s="313">
        <f>IF(O13="J",200,)</f>
        <v>0</v>
      </c>
      <c r="P14" s="314">
        <f>P13*185</f>
        <v>0</v>
      </c>
      <c r="Q14" s="315">
        <f>Q13*300</f>
        <v>0</v>
      </c>
      <c r="R14" s="316">
        <f>N14+O14+P14+Q14</f>
        <v>131.25</v>
      </c>
      <c r="S14" s="317">
        <f>IF(  ((S4*R4)-N14-O14-P14-Q14)&lt;60,"SockelB 60€:",((S4*R4)-N14-O14-P14-Q14))</f>
        <v>1218.75</v>
      </c>
      <c r="T14" s="318">
        <f xml:space="preserve">   IF(S14&lt;&gt;"SockelB 60€:",                      S13+(N14+O14+P14+Q14),60+  (N14+O14+P14+Q14))</f>
        <v>1481.25</v>
      </c>
      <c r="U14" s="301">
        <f xml:space="preserve">   IF(                         (0.68503937007874 *$A$4) - ($V$2/12)&gt;0,(0.68503937007874 *$A$4) - ($V$2/12),0)</f>
        <v>1349.9999999999991</v>
      </c>
      <c r="V14" s="106">
        <f>IF(($A$4)-($V$2/12)&gt;0,($A$4)-($V$2/12),0)</f>
        <v>3350</v>
      </c>
    </row>
    <row r="15" spans="1:22" ht="15.6" thickTop="1" thickBot="1" x14ac:dyDescent="0.35">
      <c r="A15" s="273" t="s">
        <v>179</v>
      </c>
      <c r="B15" s="311">
        <f>S14</f>
        <v>1218.75</v>
      </c>
      <c r="C15" s="319">
        <v>0</v>
      </c>
      <c r="D15" s="233">
        <f>IF(B15&lt;=$D$6,B15,$D$6)</f>
        <v>1218.75</v>
      </c>
      <c r="E15" s="233">
        <f>IF(B15&lt;=$E$8,B15,$E$8)</f>
        <v>1218.75</v>
      </c>
      <c r="F15" s="263" t="str">
        <f>IF(G14="J",IF(C15&gt;=240,IF(C15&lt;=480,0.3*C15,0.3*480),"Keine Förderung"),"Keine Förderung")</f>
        <v>Keine Förderung</v>
      </c>
      <c r="G15" s="264"/>
      <c r="H15" s="245"/>
      <c r="I15" s="243"/>
      <c r="J15" s="233">
        <f>IF($A16="40b Betrag überschritten",D$6-2148,$D$6-B15)</f>
        <v>4877.25</v>
      </c>
      <c r="K15" s="233">
        <f>IF($A16="§ 40b Altzusage Betrag überschritten",$E$8-1752,$E$8-B15)</f>
        <v>1829.25</v>
      </c>
      <c r="L15" s="224"/>
      <c r="M15" s="251"/>
      <c r="N15" s="377" t="str">
        <f>T13</f>
        <v xml:space="preserve"> im Förderlimit</v>
      </c>
      <c r="O15" s="320"/>
      <c r="P15" s="320"/>
      <c r="Q15" s="320"/>
      <c r="R15" s="320"/>
      <c r="S15" s="321" t="s">
        <v>175</v>
      </c>
      <c r="T15" s="322" t="s">
        <v>176</v>
      </c>
      <c r="U15" s="302" t="str">
        <f>IF(U16&gt;0,"Ersparnis","keine Ersparnis")</f>
        <v>Ersparnis</v>
      </c>
      <c r="V15" s="108" t="str">
        <f>IF(V16&gt;0,"Ersparnis","keine Ersparnis")</f>
        <v>Ersparnis</v>
      </c>
    </row>
    <row r="16" spans="1:22" ht="26.25" hidden="1" customHeight="1" thickTop="1" thickBot="1" x14ac:dyDescent="0.35">
      <c r="A16" s="274" t="s">
        <v>19</v>
      </c>
      <c r="B16" s="323"/>
      <c r="C16" s="224"/>
      <c r="D16" s="228"/>
      <c r="E16" s="228"/>
      <c r="F16" s="224"/>
      <c r="G16" s="228"/>
      <c r="H16" s="228"/>
      <c r="I16" s="224"/>
      <c r="J16" s="324"/>
      <c r="K16" s="325"/>
      <c r="L16" s="228"/>
      <c r="M16" s="251"/>
      <c r="N16" s="326"/>
      <c r="O16" s="320"/>
      <c r="P16" s="327"/>
      <c r="Q16" s="327"/>
      <c r="R16" s="224"/>
      <c r="S16" s="224"/>
      <c r="T16" s="251"/>
      <c r="U16" s="109">
        <f>IF($B$14&gt;0,IF(   U14 &gt;= $B$14,$B$14*U4, U14*U4 ),"kein Betrag" )</f>
        <v>9.6468749999999996</v>
      </c>
      <c r="V16" s="110">
        <f>IF($B$14&gt;0,IF(   V14 &gt;= $B$14,$B$14*V4, V14*V4 ),"kein Betrag" )</f>
        <v>12.206250000000001</v>
      </c>
    </row>
    <row r="17" spans="1:22" ht="15.6" hidden="1" thickTop="1" thickBot="1" x14ac:dyDescent="0.35">
      <c r="A17" s="275" t="s">
        <v>13</v>
      </c>
      <c r="B17" s="311">
        <v>0</v>
      </c>
      <c r="C17" s="251"/>
      <c r="D17" s="257">
        <f>IF(B17&lt;=$D$5,B17,$D$5)</f>
        <v>0</v>
      </c>
      <c r="E17" s="257">
        <f>IF(B17&lt;=$E$7,B17,$E$7)</f>
        <v>0</v>
      </c>
      <c r="F17" s="251"/>
      <c r="G17" s="179" t="s">
        <v>11</v>
      </c>
      <c r="H17" s="257">
        <f>IF($B17&lt;=H9,$B17,H9)</f>
        <v>0</v>
      </c>
      <c r="I17" s="257">
        <f>IF($B17&lt;=I11,$B17,I11)</f>
        <v>0</v>
      </c>
      <c r="J17" s="324"/>
      <c r="K17" s="325"/>
      <c r="L17" s="228"/>
      <c r="M17" s="251"/>
      <c r="N17" s="326"/>
      <c r="O17" s="320"/>
      <c r="P17" s="327"/>
      <c r="Q17" s="327"/>
      <c r="R17" s="224"/>
      <c r="S17" s="224"/>
      <c r="T17" s="251"/>
      <c r="U17" s="403" t="s">
        <v>145</v>
      </c>
      <c r="V17" s="102">
        <v>0.15</v>
      </c>
    </row>
    <row r="18" spans="1:22" ht="15.6" hidden="1" thickTop="1" thickBot="1" x14ac:dyDescent="0.35">
      <c r="A18" s="276" t="s">
        <v>14</v>
      </c>
      <c r="B18" s="311">
        <v>0</v>
      </c>
      <c r="C18" s="319">
        <v>0</v>
      </c>
      <c r="D18" s="233">
        <f>IF(B18&lt;=$D$6,B18,$D$6)</f>
        <v>0</v>
      </c>
      <c r="E18" s="233">
        <f>IF(B18&lt;=$E$8,B18,$E$8)</f>
        <v>0</v>
      </c>
      <c r="F18" s="328" t="str">
        <f>IF(G17="J",IF(C18&gt;=240,IF(C18&lt;=480,0.3*C18,0.3*480),"Keine Förderung"),"Keine Förderung")</f>
        <v>Keine Förderung</v>
      </c>
      <c r="G18" s="329"/>
      <c r="H18" s="233">
        <f>IF($B18&lt;=H10,$B18,H10)</f>
        <v>0</v>
      </c>
      <c r="I18" s="233">
        <f>IF($B18&lt;=I12,$B18,I12)</f>
        <v>0</v>
      </c>
      <c r="J18" s="266">
        <f>IF($A19="40b Betrag überschritten",D$6-2148,$D$6-B18)</f>
        <v>6096</v>
      </c>
      <c r="K18" s="266">
        <f>IF($A19="§ 40b Altzusage Betrag überschritten",$E$8-1752,$E$8-B18)</f>
        <v>3048</v>
      </c>
      <c r="L18" s="264"/>
      <c r="M18" s="243"/>
      <c r="N18" s="326"/>
      <c r="O18" s="320"/>
      <c r="P18" s="330"/>
      <c r="Q18" s="331"/>
      <c r="R18" s="332"/>
      <c r="S18" s="332"/>
      <c r="T18" s="243"/>
      <c r="U18" s="404"/>
      <c r="V18" s="75">
        <f>IF(U17="Nur SV-Ersparnis ",(U16+V16),(V17*$B$14))</f>
        <v>21.853124999999999</v>
      </c>
    </row>
    <row r="19" spans="1:22" ht="15.6" hidden="1" thickTop="1" thickBot="1" x14ac:dyDescent="0.35">
      <c r="A19" s="277" t="s">
        <v>154</v>
      </c>
      <c r="B19" s="323"/>
      <c r="C19" s="224"/>
      <c r="D19" s="333"/>
      <c r="E19" s="239"/>
      <c r="F19" s="239"/>
      <c r="G19" s="334"/>
      <c r="H19" s="333"/>
      <c r="I19" s="251"/>
      <c r="J19" s="335"/>
      <c r="K19" s="336"/>
      <c r="L19" s="224"/>
      <c r="M19" s="337"/>
      <c r="N19" s="326"/>
      <c r="O19" s="320"/>
      <c r="P19" s="327"/>
      <c r="Q19" s="327"/>
      <c r="R19" s="224"/>
      <c r="S19" s="224"/>
      <c r="T19" s="224"/>
      <c r="U19" s="41"/>
      <c r="V19" s="97"/>
    </row>
    <row r="20" spans="1:22" ht="15.6" hidden="1" thickTop="1" thickBot="1" x14ac:dyDescent="0.35">
      <c r="A20" s="278"/>
      <c r="B20" s="323"/>
      <c r="C20" s="224"/>
      <c r="D20" s="224"/>
      <c r="E20" s="228"/>
      <c r="F20" s="251"/>
      <c r="G20" s="258" t="s">
        <v>24</v>
      </c>
      <c r="H20" s="338"/>
      <c r="I20" s="251"/>
      <c r="J20" s="250" t="s">
        <v>22</v>
      </c>
      <c r="K20" s="250" t="s">
        <v>22</v>
      </c>
      <c r="L20" s="224"/>
      <c r="M20" s="337"/>
      <c r="N20" s="326"/>
      <c r="O20" s="320"/>
      <c r="P20" s="327"/>
      <c r="Q20" s="327"/>
      <c r="R20" s="224"/>
      <c r="S20" s="224"/>
      <c r="T20" s="224"/>
      <c r="U20" s="41"/>
      <c r="V20" s="97"/>
    </row>
    <row r="21" spans="1:22" ht="30" hidden="1" thickTop="1" thickBot="1" x14ac:dyDescent="0.35">
      <c r="A21" s="279" t="s">
        <v>23</v>
      </c>
      <c r="B21" s="339">
        <v>0</v>
      </c>
      <c r="C21" s="340">
        <v>0</v>
      </c>
      <c r="D21" s="224"/>
      <c r="E21" s="251"/>
      <c r="F21" s="341" t="str">
        <f>IF(G20="J",IF(C21&gt;=240,IF(C21&lt;=480,0.3*C21,0.3*480),"Keine Förderung"),"Keine Förderung")</f>
        <v>Keine Förderung</v>
      </c>
      <c r="G21" s="251"/>
      <c r="H21" s="266">
        <f>IF($B21&lt;=H10,$B21,H10)</f>
        <v>0</v>
      </c>
      <c r="I21" s="342">
        <f>IF($B21&lt;=I12,$B21,I12)</f>
        <v>0</v>
      </c>
      <c r="J21" s="343">
        <f>IF($A22="ACHTUNG - § 40b Altzusage Betrag überschritten",D$6-2148,$D$6-B21)</f>
        <v>6096</v>
      </c>
      <c r="K21" s="343">
        <f>IF($A22="ACHTUNG - § 40b Altzusage Betrag überschritten",$E$8-2148,$E$8-B21)</f>
        <v>3048</v>
      </c>
      <c r="L21" s="224"/>
      <c r="M21" s="337"/>
      <c r="N21" s="326"/>
      <c r="O21" s="320"/>
      <c r="P21" s="327"/>
      <c r="Q21" s="327"/>
      <c r="R21" s="224"/>
      <c r="S21" s="224"/>
      <c r="T21" s="224"/>
      <c r="U21" s="41"/>
      <c r="V21" s="97"/>
    </row>
    <row r="22" spans="1:22" ht="33.75" hidden="1" customHeight="1" thickTop="1" thickBot="1" x14ac:dyDescent="0.35">
      <c r="A22" s="280"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344">
        <f>B21</f>
        <v>0</v>
      </c>
      <c r="C22" s="332"/>
      <c r="D22" s="332"/>
      <c r="E22" s="245"/>
      <c r="F22" s="345"/>
      <c r="G22" s="245"/>
      <c r="H22" s="245"/>
      <c r="I22" s="332"/>
      <c r="J22" s="332"/>
      <c r="K22" s="245"/>
      <c r="L22" s="332"/>
      <c r="M22" s="346"/>
      <c r="N22" s="326"/>
      <c r="O22" s="320"/>
      <c r="P22" s="330"/>
      <c r="Q22" s="330"/>
      <c r="R22" s="245"/>
      <c r="S22" s="332"/>
      <c r="T22" s="332"/>
      <c r="U22" s="59"/>
      <c r="V22" s="111"/>
    </row>
    <row r="23" spans="1:22" ht="15.6" hidden="1" thickTop="1" thickBot="1" x14ac:dyDescent="0.35">
      <c r="A23" s="277" t="s">
        <v>155</v>
      </c>
      <c r="B23" s="323"/>
      <c r="C23" s="224"/>
      <c r="D23" s="228"/>
      <c r="E23" s="228"/>
      <c r="F23" s="228"/>
      <c r="G23" s="228"/>
      <c r="H23" s="228"/>
      <c r="I23" s="228"/>
      <c r="J23" s="228"/>
      <c r="K23" s="228"/>
      <c r="L23" s="347"/>
      <c r="M23" s="348"/>
      <c r="N23" s="326"/>
      <c r="O23" s="320"/>
      <c r="P23" s="327"/>
      <c r="Q23" s="327"/>
      <c r="R23" s="224"/>
      <c r="S23" s="224"/>
      <c r="T23" s="224"/>
      <c r="U23" s="41"/>
      <c r="V23" s="97"/>
    </row>
    <row r="24" spans="1:22" ht="44.55" hidden="1" thickTop="1" thickBot="1" x14ac:dyDescent="0.35">
      <c r="A24" s="279" t="s">
        <v>156</v>
      </c>
      <c r="B24" s="339">
        <v>0</v>
      </c>
      <c r="C24" s="340">
        <v>0</v>
      </c>
      <c r="D24" s="264"/>
      <c r="E24" s="349"/>
      <c r="F24" s="341" t="str">
        <f>IF(G24="J",IF(C24&gt;=240,IF(C24&lt;=480,0.3*C24,0.3*480),"Keine Förderung"),"Keine Förderung")</f>
        <v>Keine Förderung</v>
      </c>
      <c r="G24" s="258" t="s">
        <v>11</v>
      </c>
      <c r="H24" s="350">
        <f>IF($B24&lt;=H12,$B24,H12)</f>
        <v>0</v>
      </c>
      <c r="I24" s="350">
        <f>IF($B24&lt;=I14,$B24,I14)</f>
        <v>0</v>
      </c>
      <c r="J24" s="351">
        <f>IF($B24&lt;= $D$6, D$6-B24,0)</f>
        <v>6096</v>
      </c>
      <c r="K24" s="351">
        <f>IF($B24&lt;= $E$8, E$8-B24,0)</f>
        <v>3048</v>
      </c>
      <c r="L24" s="352" t="str">
        <f>IF(J24=0,B24-$D$6," ")</f>
        <v xml:space="preserve"> </v>
      </c>
      <c r="M24" s="353" t="str">
        <f>IF(K24=0,B24-$E$8," ")</f>
        <v xml:space="preserve"> </v>
      </c>
      <c r="N24" s="326"/>
      <c r="O24" s="320"/>
      <c r="P24" s="330"/>
      <c r="Q24" s="330"/>
      <c r="R24" s="332"/>
      <c r="S24" s="332"/>
      <c r="T24" s="332"/>
      <c r="U24" s="59"/>
      <c r="V24" s="111"/>
    </row>
    <row r="25" spans="1:22" ht="73.2" hidden="1" thickTop="1" thickBot="1" x14ac:dyDescent="0.35">
      <c r="A25" s="281" t="s">
        <v>157</v>
      </c>
      <c r="B25" s="339">
        <v>16000</v>
      </c>
      <c r="C25" s="333"/>
      <c r="D25" s="229"/>
      <c r="E25" s="229"/>
      <c r="F25" s="229"/>
      <c r="G25" s="229"/>
      <c r="H25" s="228"/>
      <c r="I25" s="228"/>
      <c r="J25" s="228"/>
      <c r="K25" s="354"/>
      <c r="L25" s="229"/>
      <c r="M25" s="251"/>
      <c r="N25" s="326"/>
      <c r="O25" s="320"/>
      <c r="P25" s="327"/>
      <c r="Q25" s="327"/>
      <c r="R25" s="224"/>
      <c r="S25" s="224"/>
      <c r="T25" s="224"/>
      <c r="U25" s="41"/>
      <c r="V25" s="97"/>
    </row>
    <row r="26" spans="1:22" ht="15.6" hidden="1" thickTop="1" thickBot="1" x14ac:dyDescent="0.35">
      <c r="A26" s="282" t="s">
        <v>27</v>
      </c>
      <c r="B26" s="355">
        <v>41122</v>
      </c>
      <c r="C26" s="224"/>
      <c r="D26" s="228"/>
      <c r="E26" s="228"/>
      <c r="F26" s="228"/>
      <c r="G26" s="228"/>
      <c r="H26" s="228"/>
      <c r="I26" s="228"/>
      <c r="J26" s="228"/>
      <c r="K26" s="228"/>
      <c r="L26" s="228"/>
      <c r="M26" s="251"/>
      <c r="N26" s="326"/>
      <c r="O26" s="320"/>
      <c r="P26" s="327"/>
      <c r="Q26" s="327"/>
      <c r="R26" s="224"/>
      <c r="S26" s="224"/>
      <c r="T26" s="224"/>
      <c r="U26" s="41"/>
      <c r="V26" s="97"/>
    </row>
    <row r="27" spans="1:22" ht="15.6" hidden="1" thickTop="1" thickBot="1" x14ac:dyDescent="0.35">
      <c r="A27" s="282" t="s">
        <v>28</v>
      </c>
      <c r="B27" s="355">
        <v>42948</v>
      </c>
      <c r="C27" s="224"/>
      <c r="D27" s="228"/>
      <c r="E27" s="228"/>
      <c r="F27" s="228"/>
      <c r="G27" s="228"/>
      <c r="H27" s="228"/>
      <c r="I27" s="228"/>
      <c r="J27" s="228"/>
      <c r="K27" s="228"/>
      <c r="L27" s="228"/>
      <c r="M27" s="251"/>
      <c r="N27" s="326"/>
      <c r="O27" s="320"/>
      <c r="P27" s="327"/>
      <c r="Q27" s="327"/>
      <c r="R27" s="224"/>
      <c r="S27" s="224"/>
      <c r="T27" s="224"/>
      <c r="U27" s="41"/>
      <c r="V27" s="97"/>
    </row>
    <row r="28" spans="1:22" ht="15.6" hidden="1" thickTop="1" thickBot="1" x14ac:dyDescent="0.35">
      <c r="A28" s="282" t="s">
        <v>31</v>
      </c>
      <c r="B28" s="356">
        <f>IF((DATEDIF($B$26,$B$27,"y")*12)+(DATEDIF($B$26,$B$27,"ym")+((DATEDIF($B$26,$B$27,"md")/30)))&lt;=120,(DATEDIF($B$26,$B$27,"y")*12)+(DATEDIF($B$26,$B$27,"ym")+((DATEDIF($B$26,$B$27,"md")/30))),120)</f>
        <v>60</v>
      </c>
      <c r="C28" s="224"/>
      <c r="D28" s="228"/>
      <c r="E28" s="228"/>
      <c r="F28" s="228"/>
      <c r="G28" s="228"/>
      <c r="H28" s="228"/>
      <c r="I28" s="228"/>
      <c r="J28" s="228"/>
      <c r="K28" s="228"/>
      <c r="L28" s="228"/>
      <c r="M28" s="251"/>
      <c r="N28" s="326"/>
      <c r="O28" s="320"/>
      <c r="P28" s="327"/>
      <c r="Q28" s="327"/>
      <c r="R28" s="224"/>
      <c r="S28" s="224"/>
      <c r="T28" s="224"/>
      <c r="U28" s="41"/>
      <c r="V28" s="97"/>
    </row>
    <row r="29" spans="1:22" ht="15.6" hidden="1" thickTop="1" thickBot="1" x14ac:dyDescent="0.35">
      <c r="A29" s="283" t="str">
        <f>CONCATENATE("Beschäftigungszeitraum beträgt:    ",DATEDIF($B$26,$B$27,"y")," Jahr(e)  ",DATEDIF($B$26,$B$27,"ym")," Monate ",DATEDIF($B$26,$B$27,"MD")," Tage"," -&gt; Jahresfaktor:")</f>
        <v>Beschäftigungszeitraum beträgt:    5 Jahr(e)  0 Monate 0 Tage -&gt; Jahresfaktor:</v>
      </c>
      <c r="B29" s="357">
        <f>DATEDIF($B$26,$B$27,"y")</f>
        <v>5</v>
      </c>
      <c r="C29" s="332"/>
      <c r="D29" s="245"/>
      <c r="E29" s="245"/>
      <c r="F29" s="245"/>
      <c r="G29" s="349"/>
      <c r="H29" s="358">
        <f>IF(B29*I12&lt;= 10*I29,B29*I12,10*I29)</f>
        <v>15240</v>
      </c>
      <c r="I29" s="358">
        <f>B25</f>
        <v>16000</v>
      </c>
      <c r="J29" s="359">
        <f>IF(B25&gt;=H29,0,I12*B29-B25)</f>
        <v>0</v>
      </c>
      <c r="K29" s="360"/>
      <c r="L29" s="266">
        <f>IF(J29=0,B25-H29,)</f>
        <v>760</v>
      </c>
      <c r="M29" s="361"/>
      <c r="N29" s="326"/>
      <c r="O29" s="320"/>
      <c r="P29" s="330"/>
      <c r="Q29" s="330"/>
      <c r="R29" s="332"/>
      <c r="S29" s="332"/>
      <c r="T29" s="332"/>
      <c r="U29" s="59"/>
      <c r="V29" s="111"/>
    </row>
    <row r="30" spans="1:22" ht="116.55" hidden="1" thickTop="1" thickBot="1" x14ac:dyDescent="0.35">
      <c r="A30" s="284" t="s">
        <v>158</v>
      </c>
      <c r="B30" s="362">
        <v>0</v>
      </c>
      <c r="C30" s="363"/>
      <c r="D30" s="364"/>
      <c r="E30" s="364"/>
      <c r="F30" s="364"/>
      <c r="G30" s="365"/>
      <c r="H30" s="365"/>
      <c r="I30" s="365"/>
      <c r="J30" s="365"/>
      <c r="K30" s="365"/>
      <c r="L30" s="365"/>
      <c r="M30" s="366"/>
      <c r="N30" s="326"/>
      <c r="O30" s="320"/>
      <c r="P30" s="327"/>
      <c r="Q30" s="327"/>
      <c r="R30" s="224"/>
      <c r="S30" s="224"/>
      <c r="T30" s="224"/>
      <c r="U30" s="41"/>
      <c r="V30" s="97"/>
    </row>
    <row r="31" spans="1:22" ht="15.6" hidden="1" thickTop="1" thickBot="1" x14ac:dyDescent="0.35">
      <c r="A31" s="285" t="s">
        <v>32</v>
      </c>
      <c r="B31" s="355">
        <v>42401</v>
      </c>
      <c r="C31" s="224"/>
      <c r="D31" s="228"/>
      <c r="E31" s="228"/>
      <c r="F31" s="228"/>
      <c r="G31" s="228"/>
      <c r="H31" s="228"/>
      <c r="I31" s="228"/>
      <c r="J31" s="228"/>
      <c r="K31" s="228"/>
      <c r="L31" s="228"/>
      <c r="M31" s="251"/>
      <c r="N31" s="326"/>
      <c r="O31" s="320"/>
      <c r="P31" s="327"/>
      <c r="Q31" s="327"/>
      <c r="R31" s="224"/>
      <c r="S31" s="224"/>
      <c r="T31" s="224"/>
      <c r="U31" s="41"/>
      <c r="V31" s="97"/>
    </row>
    <row r="32" spans="1:22" ht="15.6" hidden="1" thickTop="1" thickBot="1" x14ac:dyDescent="0.35">
      <c r="A32" s="285" t="s">
        <v>29</v>
      </c>
      <c r="B32" s="355">
        <v>42735</v>
      </c>
      <c r="C32" s="224"/>
      <c r="D32" s="228"/>
      <c r="E32" s="228"/>
      <c r="F32" s="228"/>
      <c r="G32" s="228"/>
      <c r="H32" s="228"/>
      <c r="I32" s="228"/>
      <c r="J32" s="228"/>
      <c r="K32" s="228"/>
      <c r="L32" s="228"/>
      <c r="M32" s="251"/>
      <c r="N32" s="326"/>
      <c r="O32" s="320"/>
      <c r="P32" s="327"/>
      <c r="Q32" s="327"/>
      <c r="R32" s="224"/>
      <c r="S32" s="224"/>
      <c r="T32" s="224"/>
      <c r="U32" s="41"/>
      <c r="V32" s="97"/>
    </row>
    <row r="33" spans="1:22" ht="15.6" hidden="1" thickTop="1" thickBot="1" x14ac:dyDescent="0.35">
      <c r="A33" s="285" t="s">
        <v>31</v>
      </c>
      <c r="B33" s="356">
        <f>IF((DATEDIF($B$31,$B$32,"y")*12)+(DATEDIF($B$31,$B$32,"ym")+((DATEDIF($B$31,$B$32,"md")/30)))&lt;=120,(DATEDIF($B$31,$B$32,"y")*12)+(DATEDIF($B$31,$B$32,"ym")+((DATEDIF($B$31,$B$32,"md")/30))),120)</f>
        <v>11</v>
      </c>
      <c r="C33" s="224"/>
      <c r="D33" s="228"/>
      <c r="E33" s="228"/>
      <c r="F33" s="228"/>
      <c r="G33" s="228"/>
      <c r="H33" s="228"/>
      <c r="I33" s="228"/>
      <c r="J33" s="228"/>
      <c r="K33" s="228"/>
      <c r="L33" s="228"/>
      <c r="M33" s="251"/>
      <c r="N33" s="326"/>
      <c r="O33" s="320"/>
      <c r="P33" s="327"/>
      <c r="Q33" s="327"/>
      <c r="R33" s="224"/>
      <c r="S33" s="224"/>
      <c r="T33" s="224"/>
      <c r="U33" s="41"/>
      <c r="V33" s="97"/>
    </row>
    <row r="34" spans="1:22" ht="15.6" hidden="1" thickTop="1" thickBot="1" x14ac:dyDescent="0.35">
      <c r="A34" s="286" t="str">
        <f>CONCATENATE("Beschäftigungszeitraum beträgt:    ",DATEDIF($B$31,$B$32,"y")," Jahr(e)  ",DATEDIF($B$31,$B$32,"ym")," Monate ",DATEDIF($B$31,$B$32,"MD")," Tage"," -&gt; Jahresfaktor:")</f>
        <v>Beschäftigungszeitraum beträgt:    0 Jahr(e)  10 Monate 30 Tage -&gt; Jahresfaktor:</v>
      </c>
      <c r="B34" s="357">
        <f>DATEDIF($B$31,$B$32,"y")</f>
        <v>0</v>
      </c>
      <c r="C34" s="338"/>
      <c r="D34" s="367"/>
      <c r="E34" s="367"/>
      <c r="F34" s="367"/>
      <c r="G34" s="368"/>
      <c r="H34" s="358">
        <f>IF(B34*H10&lt;= 10*B30,B34*H10,10*B30)</f>
        <v>0</v>
      </c>
      <c r="I34" s="368"/>
      <c r="J34" s="359">
        <f>IF(B30&gt;=H34,0,H10*B34-B30)</f>
        <v>0</v>
      </c>
      <c r="K34" s="368"/>
      <c r="L34" s="266">
        <f>IF(J34=0,B30-H34,)</f>
        <v>0</v>
      </c>
      <c r="M34" s="368"/>
      <c r="N34" s="326"/>
      <c r="O34" s="320"/>
      <c r="P34" s="369"/>
      <c r="Q34" s="369"/>
      <c r="R34" s="338"/>
      <c r="S34" s="338"/>
      <c r="T34" s="338"/>
      <c r="U34" s="83"/>
      <c r="V34" s="136"/>
    </row>
    <row r="35" spans="1:22" ht="15.6" thickTop="1" thickBot="1" x14ac:dyDescent="0.35">
      <c r="A35" s="287" t="s">
        <v>180</v>
      </c>
      <c r="B35" s="311">
        <f>T14</f>
        <v>1481.25</v>
      </c>
      <c r="C35" s="319">
        <v>0</v>
      </c>
      <c r="D35" s="233">
        <f>IF(B35&lt;=$D$6,B35,$D$6)</f>
        <v>1481.25</v>
      </c>
      <c r="E35" s="233">
        <f>IF(B35&lt;=$E$8,B35,$E$8)</f>
        <v>1481.25</v>
      </c>
      <c r="F35" s="263" t="str">
        <f>IF(G34="J",IF(C35&gt;=240,IF(C35&lt;=480,0.3*C35,0.3*480),"Keine Förderung"),"Keine Förderung")</f>
        <v>Keine Förderung</v>
      </c>
      <c r="G35" s="264"/>
      <c r="H35" s="245"/>
      <c r="I35" s="243"/>
      <c r="J35" s="233">
        <f>IF($A36="40b Betrag überschritten",D$6-2148,$D$6-B35)</f>
        <v>4614.75</v>
      </c>
      <c r="K35" s="233">
        <f>IF($A36="§ 40b Altzusage Betrag überschritten",$E$8-1752,$E$8-B35)</f>
        <v>1566.75</v>
      </c>
      <c r="L35" s="224"/>
      <c r="M35" s="251"/>
      <c r="N35" s="326"/>
      <c r="O35" s="370"/>
      <c r="P35" s="371"/>
      <c r="Q35" s="371"/>
      <c r="R35" s="372"/>
      <c r="S35" s="372"/>
      <c r="T35" s="372"/>
    </row>
    <row r="36" spans="1:22" ht="15" thickTop="1" x14ac:dyDescent="0.3">
      <c r="N36" s="376"/>
    </row>
    <row r="37" spans="1:22" x14ac:dyDescent="0.3">
      <c r="N37" s="376"/>
    </row>
    <row r="45" spans="1:22" x14ac:dyDescent="0.3">
      <c r="P45" s="376"/>
    </row>
    <row r="408" spans="5:5" x14ac:dyDescent="0.3">
      <c r="E408">
        <v>3</v>
      </c>
    </row>
  </sheetData>
  <sheetProtection sheet="1" objects="1" scenarios="1"/>
  <mergeCells count="2">
    <mergeCell ref="U17:U18"/>
    <mergeCell ref="O2:T2"/>
  </mergeCells>
  <dataValidations disablePrompts="1" count="2">
    <dataValidation type="list" showInputMessage="1" showErrorMessage="1" promptTitle=" AG-SV Beitrag" prompt="AG-SV-Zusatz-Beitrag - freiwillig %-Satz ?" sqref="U17" xr:uid="{00000000-0002-0000-0500-000000000000}">
      <formula1>"SV-Beitrag freiwillig %-Satz, Nur SV-Ersparnis "</formula1>
    </dataValidation>
    <dataValidation type="list" showInputMessage="1" showErrorMessage="1" sqref="G14 G17 N13:O13 G24 G20" xr:uid="{00000000-0002-0000-0500-000001000000}">
      <formula1>"J, N"</formula1>
    </dataValidation>
  </dataValidations>
  <pageMargins left="0.27" right="0.17" top="0.53" bottom="0.52" header="0.17" footer="0.3"/>
  <pageSetup paperSize="8" fitToWidth="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dimension ref="A1:C175"/>
  <sheetViews>
    <sheetView zoomScale="70" zoomScaleNormal="70" workbookViewId="0">
      <selection activeCell="A20" sqref="A20"/>
    </sheetView>
  </sheetViews>
  <sheetFormatPr baseColWidth="10" defaultRowHeight="14.4" x14ac:dyDescent="0.3"/>
  <cols>
    <col min="1" max="1" width="126" style="390" customWidth="1"/>
  </cols>
  <sheetData>
    <row r="1" spans="1:1" ht="21" x14ac:dyDescent="0.4">
      <c r="A1" s="380" t="s">
        <v>90</v>
      </c>
    </row>
    <row r="3" spans="1:1" ht="21" x14ac:dyDescent="0.4">
      <c r="A3" s="381" t="s">
        <v>33</v>
      </c>
    </row>
    <row r="4" spans="1:1" ht="21" x14ac:dyDescent="0.4">
      <c r="A4" s="382" t="s">
        <v>34</v>
      </c>
    </row>
    <row r="5" spans="1:1" ht="21" x14ac:dyDescent="0.4">
      <c r="A5" s="382" t="s">
        <v>35</v>
      </c>
    </row>
    <row r="6" spans="1:1" ht="21" x14ac:dyDescent="0.4">
      <c r="A6" s="383" t="s">
        <v>45</v>
      </c>
    </row>
    <row r="7" spans="1:1" ht="21" x14ac:dyDescent="0.4">
      <c r="A7" s="383" t="s">
        <v>197</v>
      </c>
    </row>
    <row r="8" spans="1:1" ht="21" x14ac:dyDescent="0.4">
      <c r="A8" s="383" t="s">
        <v>210</v>
      </c>
    </row>
    <row r="9" spans="1:1" ht="21" x14ac:dyDescent="0.4">
      <c r="A9" s="383" t="s">
        <v>211</v>
      </c>
    </row>
    <row r="11" spans="1:1" ht="21" x14ac:dyDescent="0.4">
      <c r="A11" s="381" t="s">
        <v>36</v>
      </c>
    </row>
    <row r="12" spans="1:1" ht="21" x14ac:dyDescent="0.4">
      <c r="A12" s="382" t="s">
        <v>37</v>
      </c>
    </row>
    <row r="13" spans="1:1" ht="21" x14ac:dyDescent="0.4">
      <c r="A13" s="382" t="s">
        <v>38</v>
      </c>
    </row>
    <row r="14" spans="1:1" ht="21" x14ac:dyDescent="0.4">
      <c r="A14" s="382" t="s">
        <v>39</v>
      </c>
    </row>
    <row r="15" spans="1:1" ht="21" x14ac:dyDescent="0.4">
      <c r="A15" s="382" t="s">
        <v>198</v>
      </c>
    </row>
    <row r="16" spans="1:1" ht="21" x14ac:dyDescent="0.4">
      <c r="A16" s="382" t="s">
        <v>202</v>
      </c>
    </row>
    <row r="17" spans="1:1" ht="21" x14ac:dyDescent="0.45">
      <c r="A17" s="382" t="s">
        <v>40</v>
      </c>
    </row>
    <row r="18" spans="1:1" ht="21" x14ac:dyDescent="0.4">
      <c r="A18" s="382" t="s">
        <v>200</v>
      </c>
    </row>
    <row r="19" spans="1:1" ht="21" x14ac:dyDescent="0.4">
      <c r="A19" s="382" t="s">
        <v>199</v>
      </c>
    </row>
    <row r="20" spans="1:1" ht="21" x14ac:dyDescent="0.4">
      <c r="A20" s="382" t="s">
        <v>42</v>
      </c>
    </row>
    <row r="21" spans="1:1" ht="21" x14ac:dyDescent="0.4">
      <c r="A21" s="382" t="s">
        <v>203</v>
      </c>
    </row>
    <row r="22" spans="1:1" ht="21" x14ac:dyDescent="0.4">
      <c r="A22" s="382" t="s">
        <v>204</v>
      </c>
    </row>
    <row r="23" spans="1:1" ht="21" x14ac:dyDescent="0.4">
      <c r="A23" s="384" t="s">
        <v>46</v>
      </c>
    </row>
    <row r="24" spans="1:1" ht="18" x14ac:dyDescent="0.35">
      <c r="A24" s="3" t="s">
        <v>43</v>
      </c>
    </row>
    <row r="25" spans="1:1" ht="18" x14ac:dyDescent="0.35">
      <c r="A25" s="3" t="s">
        <v>44</v>
      </c>
    </row>
    <row r="26" spans="1:1" ht="18" x14ac:dyDescent="0.35">
      <c r="A26" s="3"/>
    </row>
    <row r="27" spans="1:1" ht="21" x14ac:dyDescent="0.4">
      <c r="A27" s="381" t="s">
        <v>47</v>
      </c>
    </row>
    <row r="28" spans="1:1" ht="21" x14ac:dyDescent="0.4">
      <c r="A28" s="382" t="s">
        <v>48</v>
      </c>
    </row>
    <row r="29" spans="1:1" ht="21" x14ac:dyDescent="0.4">
      <c r="A29" s="382" t="s">
        <v>49</v>
      </c>
    </row>
    <row r="30" spans="1:1" ht="21" x14ac:dyDescent="0.4">
      <c r="A30" s="382" t="s">
        <v>50</v>
      </c>
    </row>
    <row r="31" spans="1:1" ht="21" x14ac:dyDescent="0.4">
      <c r="A31" s="382" t="s">
        <v>201</v>
      </c>
    </row>
    <row r="32" spans="1:1" ht="21" x14ac:dyDescent="0.4">
      <c r="A32" s="382" t="s">
        <v>205</v>
      </c>
    </row>
    <row r="33" spans="1:1" ht="21" x14ac:dyDescent="0.4">
      <c r="A33" s="382" t="s">
        <v>51</v>
      </c>
    </row>
    <row r="34" spans="1:1" ht="21" x14ac:dyDescent="0.4">
      <c r="A34" s="382" t="s">
        <v>206</v>
      </c>
    </row>
    <row r="35" spans="1:1" ht="21" x14ac:dyDescent="0.4">
      <c r="A35" s="382" t="s">
        <v>52</v>
      </c>
    </row>
    <row r="36" spans="1:1" ht="21" x14ac:dyDescent="0.4">
      <c r="A36" s="382" t="s">
        <v>41</v>
      </c>
    </row>
    <row r="37" spans="1:1" ht="21" x14ac:dyDescent="0.4">
      <c r="A37" s="382" t="s">
        <v>207</v>
      </c>
    </row>
    <row r="38" spans="1:1" ht="21" x14ac:dyDescent="0.4">
      <c r="A38" s="382" t="s">
        <v>208</v>
      </c>
    </row>
    <row r="41" spans="1:1" ht="21" x14ac:dyDescent="0.4">
      <c r="A41" s="381" t="s">
        <v>53</v>
      </c>
    </row>
    <row r="43" spans="1:1" ht="21" x14ac:dyDescent="0.4">
      <c r="A43" s="381" t="s">
        <v>54</v>
      </c>
    </row>
    <row r="44" spans="1:1" ht="21" x14ac:dyDescent="0.4">
      <c r="A44" s="382" t="s">
        <v>55</v>
      </c>
    </row>
    <row r="45" spans="1:1" ht="21" x14ac:dyDescent="0.4">
      <c r="A45" s="382" t="s">
        <v>56</v>
      </c>
    </row>
    <row r="46" spans="1:1" ht="21" x14ac:dyDescent="0.4">
      <c r="A46" s="382" t="s">
        <v>57</v>
      </c>
    </row>
    <row r="47" spans="1:1" ht="21" x14ac:dyDescent="0.4">
      <c r="A47" s="382" t="s">
        <v>67</v>
      </c>
    </row>
    <row r="48" spans="1:1" ht="21" x14ac:dyDescent="0.4">
      <c r="A48" s="382" t="s">
        <v>58</v>
      </c>
    </row>
    <row r="49" spans="1:1" ht="21" x14ac:dyDescent="0.4">
      <c r="A49" s="382" t="s">
        <v>209</v>
      </c>
    </row>
    <row r="50" spans="1:1" ht="21" x14ac:dyDescent="0.4">
      <c r="A50" s="382" t="s">
        <v>59</v>
      </c>
    </row>
    <row r="51" spans="1:1" ht="21" x14ac:dyDescent="0.4">
      <c r="A51" s="382" t="s">
        <v>60</v>
      </c>
    </row>
    <row r="52" spans="1:1" ht="21" x14ac:dyDescent="0.4">
      <c r="A52" s="382" t="s">
        <v>61</v>
      </c>
    </row>
    <row r="53" spans="1:1" ht="21" x14ac:dyDescent="0.4">
      <c r="A53" s="382" t="s">
        <v>62</v>
      </c>
    </row>
    <row r="54" spans="1:1" ht="21" x14ac:dyDescent="0.4">
      <c r="A54" s="382" t="s">
        <v>63</v>
      </c>
    </row>
    <row r="55" spans="1:1" ht="21" x14ac:dyDescent="0.4">
      <c r="A55" s="382" t="s">
        <v>64</v>
      </c>
    </row>
    <row r="56" spans="1:1" ht="21" x14ac:dyDescent="0.4">
      <c r="A56" s="382" t="s">
        <v>65</v>
      </c>
    </row>
    <row r="57" spans="1:1" ht="21" x14ac:dyDescent="0.4">
      <c r="A57" s="382" t="s">
        <v>66</v>
      </c>
    </row>
    <row r="58" spans="1:1" ht="21" x14ac:dyDescent="0.4">
      <c r="A58" s="384" t="s">
        <v>46</v>
      </c>
    </row>
    <row r="59" spans="1:1" ht="18" x14ac:dyDescent="0.35">
      <c r="A59" s="3" t="s">
        <v>68</v>
      </c>
    </row>
    <row r="60" spans="1:1" ht="18" x14ac:dyDescent="0.35">
      <c r="A60" s="3" t="s">
        <v>69</v>
      </c>
    </row>
    <row r="61" spans="1:1" ht="18" x14ac:dyDescent="0.35">
      <c r="A61" s="3" t="s">
        <v>70</v>
      </c>
    </row>
    <row r="62" spans="1:1" ht="18" x14ac:dyDescent="0.35">
      <c r="A62" s="3" t="s">
        <v>71</v>
      </c>
    </row>
    <row r="63" spans="1:1" ht="18" x14ac:dyDescent="0.35">
      <c r="A63" s="3" t="s">
        <v>72</v>
      </c>
    </row>
    <row r="65" spans="1:1" ht="21" x14ac:dyDescent="0.4">
      <c r="A65" s="381" t="s">
        <v>73</v>
      </c>
    </row>
    <row r="66" spans="1:1" ht="21" x14ac:dyDescent="0.4">
      <c r="A66" s="382" t="s">
        <v>77</v>
      </c>
    </row>
    <row r="67" spans="1:1" ht="21" x14ac:dyDescent="0.4">
      <c r="A67" s="382" t="s">
        <v>78</v>
      </c>
    </row>
    <row r="68" spans="1:1" ht="21" x14ac:dyDescent="0.4">
      <c r="A68" s="382" t="s">
        <v>74</v>
      </c>
    </row>
    <row r="69" spans="1:1" ht="21" x14ac:dyDescent="0.4">
      <c r="A69" s="382" t="s">
        <v>75</v>
      </c>
    </row>
    <row r="70" spans="1:1" ht="21" x14ac:dyDescent="0.4">
      <c r="A70" s="382" t="s">
        <v>79</v>
      </c>
    </row>
    <row r="71" spans="1:1" ht="21" x14ac:dyDescent="0.4">
      <c r="A71" s="382" t="s">
        <v>76</v>
      </c>
    </row>
    <row r="73" spans="1:1" ht="21" x14ac:dyDescent="0.4">
      <c r="A73" s="381" t="s">
        <v>80</v>
      </c>
    </row>
    <row r="74" spans="1:1" ht="21" x14ac:dyDescent="0.4">
      <c r="A74" s="382" t="s">
        <v>81</v>
      </c>
    </row>
    <row r="75" spans="1:1" ht="21" x14ac:dyDescent="0.4">
      <c r="A75" s="382" t="s">
        <v>82</v>
      </c>
    </row>
    <row r="76" spans="1:1" ht="21" x14ac:dyDescent="0.4">
      <c r="A76" s="382" t="s">
        <v>89</v>
      </c>
    </row>
    <row r="77" spans="1:1" ht="21" x14ac:dyDescent="0.4">
      <c r="A77" s="382" t="s">
        <v>83</v>
      </c>
    </row>
    <row r="78" spans="1:1" ht="21" x14ac:dyDescent="0.4">
      <c r="A78" s="382" t="s">
        <v>84</v>
      </c>
    </row>
    <row r="79" spans="1:1" ht="21" x14ac:dyDescent="0.4">
      <c r="A79" s="382" t="s">
        <v>85</v>
      </c>
    </row>
    <row r="80" spans="1:1" ht="21" x14ac:dyDescent="0.4">
      <c r="A80" s="382" t="s">
        <v>86</v>
      </c>
    </row>
    <row r="81" spans="1:1" ht="21" x14ac:dyDescent="0.4">
      <c r="A81" s="382" t="s">
        <v>87</v>
      </c>
    </row>
    <row r="82" spans="1:1" ht="21" x14ac:dyDescent="0.4">
      <c r="A82" s="382" t="s">
        <v>88</v>
      </c>
    </row>
    <row r="84" spans="1:1" ht="21" x14ac:dyDescent="0.4">
      <c r="A84" s="381" t="s">
        <v>91</v>
      </c>
    </row>
    <row r="85" spans="1:1" ht="21" x14ac:dyDescent="0.4">
      <c r="A85" s="382" t="s">
        <v>92</v>
      </c>
    </row>
    <row r="86" spans="1:1" ht="21" x14ac:dyDescent="0.4">
      <c r="A86" s="382" t="s">
        <v>93</v>
      </c>
    </row>
    <row r="87" spans="1:1" ht="21" x14ac:dyDescent="0.4">
      <c r="A87" s="382" t="s">
        <v>94</v>
      </c>
    </row>
    <row r="88" spans="1:1" ht="21" x14ac:dyDescent="0.4">
      <c r="A88" s="382" t="s">
        <v>95</v>
      </c>
    </row>
    <row r="89" spans="1:1" ht="21" x14ac:dyDescent="0.4">
      <c r="A89" s="382" t="s">
        <v>97</v>
      </c>
    </row>
    <row r="90" spans="1:1" ht="21" x14ac:dyDescent="0.4">
      <c r="A90" s="382" t="s">
        <v>96</v>
      </c>
    </row>
    <row r="92" spans="1:1" ht="21" x14ac:dyDescent="0.4">
      <c r="A92" s="381" t="s">
        <v>98</v>
      </c>
    </row>
    <row r="93" spans="1:1" ht="21" x14ac:dyDescent="0.4">
      <c r="A93" s="382" t="s">
        <v>99</v>
      </c>
    </row>
    <row r="94" spans="1:1" ht="21" x14ac:dyDescent="0.4">
      <c r="A94" s="382" t="s">
        <v>100</v>
      </c>
    </row>
    <row r="95" spans="1:1" ht="21" x14ac:dyDescent="0.4">
      <c r="A95" s="382" t="s">
        <v>102</v>
      </c>
    </row>
    <row r="96" spans="1:1" ht="21" x14ac:dyDescent="0.4">
      <c r="A96" s="382" t="s">
        <v>103</v>
      </c>
    </row>
    <row r="97" spans="1:3" ht="21" x14ac:dyDescent="0.4">
      <c r="A97" s="382" t="s">
        <v>101</v>
      </c>
    </row>
    <row r="99" spans="1:3" ht="21" x14ac:dyDescent="0.4">
      <c r="A99" s="381" t="s">
        <v>104</v>
      </c>
    </row>
    <row r="101" spans="1:3" ht="21" x14ac:dyDescent="0.4">
      <c r="A101" s="381" t="s">
        <v>105</v>
      </c>
    </row>
    <row r="102" spans="1:3" ht="21" x14ac:dyDescent="0.4">
      <c r="A102" s="382" t="s">
        <v>106</v>
      </c>
    </row>
    <row r="103" spans="1:3" ht="21" x14ac:dyDescent="0.4">
      <c r="A103" s="382" t="s">
        <v>107</v>
      </c>
    </row>
    <row r="104" spans="1:3" ht="21" x14ac:dyDescent="0.4">
      <c r="A104" s="382" t="s">
        <v>108</v>
      </c>
    </row>
    <row r="105" spans="1:3" ht="21" x14ac:dyDescent="0.4">
      <c r="A105" s="382" t="s">
        <v>109</v>
      </c>
    </row>
    <row r="106" spans="1:3" ht="21" x14ac:dyDescent="0.4">
      <c r="A106" s="382" t="s">
        <v>110</v>
      </c>
    </row>
    <row r="107" spans="1:3" ht="21" x14ac:dyDescent="0.4">
      <c r="A107" s="382" t="s">
        <v>111</v>
      </c>
    </row>
    <row r="108" spans="1:3" ht="21" x14ac:dyDescent="0.4">
      <c r="A108" s="382" t="s">
        <v>212</v>
      </c>
    </row>
    <row r="109" spans="1:3" ht="21" x14ac:dyDescent="0.4">
      <c r="A109" s="382" t="s">
        <v>113</v>
      </c>
    </row>
    <row r="110" spans="1:3" ht="21" x14ac:dyDescent="0.4">
      <c r="A110" s="382" t="s">
        <v>213</v>
      </c>
      <c r="C110">
        <f>50000-31200</f>
        <v>18800</v>
      </c>
    </row>
    <row r="111" spans="1:3" ht="21" x14ac:dyDescent="0.4">
      <c r="A111" s="382" t="s">
        <v>114</v>
      </c>
    </row>
    <row r="112" spans="1:3" ht="21" x14ac:dyDescent="0.4">
      <c r="A112" s="382" t="s">
        <v>112</v>
      </c>
    </row>
    <row r="114" spans="1:1" ht="21" x14ac:dyDescent="0.4">
      <c r="A114" s="384" t="s">
        <v>46</v>
      </c>
    </row>
    <row r="115" spans="1:1" ht="18" x14ac:dyDescent="0.35">
      <c r="A115" s="3" t="s">
        <v>115</v>
      </c>
    </row>
    <row r="116" spans="1:1" ht="18" x14ac:dyDescent="0.35">
      <c r="A116" s="3" t="s">
        <v>116</v>
      </c>
    </row>
    <row r="117" spans="1:1" ht="18" x14ac:dyDescent="0.35">
      <c r="A117" s="3" t="s">
        <v>117</v>
      </c>
    </row>
    <row r="118" spans="1:1" ht="18" x14ac:dyDescent="0.35">
      <c r="A118" s="3" t="s">
        <v>118</v>
      </c>
    </row>
    <row r="119" spans="1:1" ht="18" x14ac:dyDescent="0.35">
      <c r="A119" s="3" t="s">
        <v>119</v>
      </c>
    </row>
    <row r="120" spans="1:1" ht="18" x14ac:dyDescent="0.35">
      <c r="A120" s="3" t="s">
        <v>120</v>
      </c>
    </row>
    <row r="121" spans="1:1" ht="18" x14ac:dyDescent="0.35">
      <c r="A121" s="3" t="s">
        <v>121</v>
      </c>
    </row>
    <row r="123" spans="1:1" ht="21" x14ac:dyDescent="0.4">
      <c r="A123" s="381" t="s">
        <v>122</v>
      </c>
    </row>
    <row r="125" spans="1:1" ht="21" x14ac:dyDescent="0.4">
      <c r="A125" s="381" t="s">
        <v>123</v>
      </c>
    </row>
    <row r="126" spans="1:1" ht="21" x14ac:dyDescent="0.4">
      <c r="A126" s="382" t="s">
        <v>124</v>
      </c>
    </row>
    <row r="127" spans="1:1" ht="21" x14ac:dyDescent="0.4">
      <c r="A127" s="382" t="s">
        <v>126</v>
      </c>
    </row>
    <row r="128" spans="1:1" ht="21" x14ac:dyDescent="0.4">
      <c r="A128" s="382" t="s">
        <v>127</v>
      </c>
    </row>
    <row r="129" spans="1:1" ht="21" x14ac:dyDescent="0.4">
      <c r="A129" s="382" t="s">
        <v>128</v>
      </c>
    </row>
    <row r="130" spans="1:1" ht="21" x14ac:dyDescent="0.4">
      <c r="A130" s="382" t="s">
        <v>125</v>
      </c>
    </row>
    <row r="131" spans="1:1" ht="21" x14ac:dyDescent="0.4">
      <c r="A131" s="382" t="s">
        <v>214</v>
      </c>
    </row>
    <row r="133" spans="1:1" ht="21" x14ac:dyDescent="0.4">
      <c r="A133" s="384" t="s">
        <v>46</v>
      </c>
    </row>
    <row r="134" spans="1:1" ht="18" x14ac:dyDescent="0.35">
      <c r="A134" s="3" t="s">
        <v>129</v>
      </c>
    </row>
    <row r="135" spans="1:1" ht="18" x14ac:dyDescent="0.35">
      <c r="A135" s="3" t="s">
        <v>130</v>
      </c>
    </row>
    <row r="136" spans="1:1" ht="18" x14ac:dyDescent="0.35">
      <c r="A136" s="3" t="s">
        <v>131</v>
      </c>
    </row>
    <row r="137" spans="1:1" ht="18" x14ac:dyDescent="0.35">
      <c r="A137" s="3" t="s">
        <v>132</v>
      </c>
    </row>
    <row r="138" spans="1:1" ht="18" x14ac:dyDescent="0.35">
      <c r="A138" s="3" t="s">
        <v>133</v>
      </c>
    </row>
    <row r="139" spans="1:1" ht="90" x14ac:dyDescent="0.35">
      <c r="A139" s="385" t="s">
        <v>215</v>
      </c>
    </row>
    <row r="142" spans="1:1" ht="21" x14ac:dyDescent="0.3">
      <c r="A142" s="386" t="s">
        <v>134</v>
      </c>
    </row>
    <row r="144" spans="1:1" ht="126" x14ac:dyDescent="0.4">
      <c r="A144" s="387" t="s">
        <v>135</v>
      </c>
    </row>
    <row r="145" spans="1:1" ht="21" x14ac:dyDescent="0.4">
      <c r="A145" s="387"/>
    </row>
    <row r="146" spans="1:1" ht="252" x14ac:dyDescent="0.4">
      <c r="A146" s="387" t="s">
        <v>138</v>
      </c>
    </row>
    <row r="149" spans="1:1" ht="21" x14ac:dyDescent="0.4">
      <c r="A149" s="384" t="s">
        <v>46</v>
      </c>
    </row>
    <row r="150" spans="1:1" ht="90" x14ac:dyDescent="0.35">
      <c r="A150" s="385" t="s">
        <v>136</v>
      </c>
    </row>
    <row r="154" spans="1:1" ht="21" x14ac:dyDescent="0.4">
      <c r="A154" s="388" t="s">
        <v>137</v>
      </c>
    </row>
    <row r="155" spans="1:1" ht="84" x14ac:dyDescent="0.4">
      <c r="A155" s="387" t="s">
        <v>187</v>
      </c>
    </row>
    <row r="157" spans="1:1" ht="147" x14ac:dyDescent="0.4">
      <c r="A157" s="387" t="s">
        <v>189</v>
      </c>
    </row>
    <row r="159" spans="1:1" ht="168" x14ac:dyDescent="0.4">
      <c r="A159" s="387" t="s">
        <v>190</v>
      </c>
    </row>
    <row r="161" spans="1:1" ht="168" x14ac:dyDescent="0.4">
      <c r="A161" s="387" t="s">
        <v>196</v>
      </c>
    </row>
    <row r="164" spans="1:1" ht="231" x14ac:dyDescent="0.4">
      <c r="A164" s="387" t="s">
        <v>191</v>
      </c>
    </row>
    <row r="166" spans="1:1" ht="189" x14ac:dyDescent="0.4">
      <c r="A166" s="387" t="s">
        <v>192</v>
      </c>
    </row>
    <row r="168" spans="1:1" ht="168" x14ac:dyDescent="0.4">
      <c r="A168" s="389" t="s">
        <v>193</v>
      </c>
    </row>
    <row r="170" spans="1:1" ht="21" x14ac:dyDescent="0.4">
      <c r="A170" s="384" t="s">
        <v>46</v>
      </c>
    </row>
    <row r="171" spans="1:1" ht="144" x14ac:dyDescent="0.35">
      <c r="A171" s="385" t="s">
        <v>188</v>
      </c>
    </row>
    <row r="174" spans="1:1" ht="294" x14ac:dyDescent="0.4">
      <c r="A174" s="387" t="s">
        <v>195</v>
      </c>
    </row>
    <row r="175" spans="1:1" ht="161.25" customHeight="1" x14ac:dyDescent="0.4">
      <c r="A175" s="387" t="s">
        <v>194</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
  <dimension ref="A1:V408"/>
  <sheetViews>
    <sheetView zoomScaleNormal="100" workbookViewId="0">
      <selection activeCell="F15" sqref="F15"/>
    </sheetView>
  </sheetViews>
  <sheetFormatPr baseColWidth="10" defaultRowHeight="14.4" x14ac:dyDescent="0.3"/>
  <cols>
    <col min="1" max="1" width="67.88671875" customWidth="1"/>
    <col min="2" max="2" width="11.33203125" bestFit="1" customWidth="1"/>
    <col min="3" max="3" width="15.6640625" customWidth="1"/>
    <col min="4" max="4" width="9.88671875" bestFit="1" customWidth="1"/>
    <col min="5" max="5" width="8.6640625" bestFit="1" customWidth="1"/>
    <col min="6" max="6" width="18.6640625" customWidth="1"/>
    <col min="7" max="7" width="9.88671875" bestFit="1" customWidth="1"/>
    <col min="8" max="9" width="10.33203125" bestFit="1" customWidth="1"/>
    <col min="10" max="11" width="10.5546875" bestFit="1" customWidth="1"/>
    <col min="12" max="12" width="9.88671875" bestFit="1" customWidth="1"/>
    <col min="13" max="13" width="10" customWidth="1"/>
    <col min="14" max="14" width="10.109375" customWidth="1"/>
    <col min="15" max="15" width="12.109375" bestFit="1" customWidth="1"/>
    <col min="16" max="16" width="10.44140625" bestFit="1" customWidth="1"/>
    <col min="17" max="17" width="12.109375" bestFit="1" customWidth="1"/>
    <col min="18" max="18" width="12" bestFit="1" customWidth="1"/>
    <col min="19" max="19" width="13.21875" customWidth="1"/>
    <col min="20" max="20" width="14.5546875" customWidth="1"/>
    <col min="21" max="22" width="15.88671875" bestFit="1" customWidth="1"/>
  </cols>
  <sheetData>
    <row r="1" spans="1:22" ht="18.600000000000001" thickBot="1" x14ac:dyDescent="0.4">
      <c r="A1" s="5" t="s">
        <v>0</v>
      </c>
      <c r="B1" s="5">
        <v>2023</v>
      </c>
      <c r="C1" s="1"/>
    </row>
    <row r="2" spans="1:22" ht="40.65" customHeight="1" thickTop="1" thickBot="1" x14ac:dyDescent="0.4">
      <c r="B2" s="156">
        <f>4987.5</f>
        <v>4987.5</v>
      </c>
      <c r="T2" s="1"/>
      <c r="U2" s="6" t="s">
        <v>147</v>
      </c>
      <c r="V2" s="65">
        <v>36000</v>
      </c>
    </row>
    <row r="3" spans="1:22" ht="70.2" thickTop="1" thickBot="1" x14ac:dyDescent="0.35">
      <c r="A3" s="15" t="s">
        <v>146</v>
      </c>
      <c r="B3" s="23" t="str">
        <f>CONCATENATE("KV-BBG  ",B2," €")</f>
        <v>KV-BBG  4987,5 €</v>
      </c>
      <c r="C3" s="25" t="s">
        <v>237</v>
      </c>
      <c r="D3" s="26" t="s">
        <v>16</v>
      </c>
      <c r="E3" s="26" t="s">
        <v>18</v>
      </c>
      <c r="F3" s="25" t="s">
        <v>149</v>
      </c>
      <c r="G3" s="25" t="s">
        <v>228</v>
      </c>
      <c r="H3" s="26" t="s">
        <v>15</v>
      </c>
      <c r="I3" s="26" t="s">
        <v>17</v>
      </c>
      <c r="J3" s="25" t="s">
        <v>20</v>
      </c>
      <c r="K3" s="25" t="s">
        <v>21</v>
      </c>
      <c r="L3" s="25" t="s">
        <v>25</v>
      </c>
      <c r="M3" s="25" t="s">
        <v>26</v>
      </c>
      <c r="N3" s="36" t="s">
        <v>139</v>
      </c>
      <c r="O3" s="36" t="s">
        <v>142</v>
      </c>
      <c r="P3" s="36" t="s">
        <v>140</v>
      </c>
      <c r="Q3" s="36" t="s">
        <v>141</v>
      </c>
      <c r="R3" s="36" t="s">
        <v>148</v>
      </c>
      <c r="S3" s="36" t="s">
        <v>152</v>
      </c>
      <c r="T3" s="36" t="s">
        <v>153</v>
      </c>
      <c r="U3" s="36" t="s">
        <v>143</v>
      </c>
      <c r="V3" s="38" t="s">
        <v>144</v>
      </c>
    </row>
    <row r="4" spans="1:22" ht="30" thickTop="1" thickBot="1" x14ac:dyDescent="0.35">
      <c r="A4" s="16">
        <v>7300</v>
      </c>
      <c r="B4" s="402" t="s">
        <v>10</v>
      </c>
      <c r="C4" s="7" t="s">
        <v>150</v>
      </c>
      <c r="D4" s="21">
        <v>0.08</v>
      </c>
      <c r="E4" s="21">
        <v>0.04</v>
      </c>
      <c r="F4" s="27" t="s">
        <v>241</v>
      </c>
      <c r="G4" s="22"/>
      <c r="H4" s="21">
        <v>0.08</v>
      </c>
      <c r="I4" s="21">
        <v>0.04</v>
      </c>
      <c r="J4" s="28">
        <v>0.08</v>
      </c>
      <c r="K4" s="29">
        <v>0.04</v>
      </c>
      <c r="L4" s="30"/>
      <c r="M4" s="30"/>
      <c r="N4" s="37"/>
      <c r="O4" s="30"/>
      <c r="P4" s="30"/>
      <c r="Q4" s="30"/>
      <c r="R4" s="63">
        <v>36000</v>
      </c>
      <c r="S4" s="64">
        <v>0.01</v>
      </c>
      <c r="T4" s="39"/>
      <c r="U4" s="399">
        <f>0.073+0.01525</f>
        <v>8.8249999999999995E-2</v>
      </c>
      <c r="V4" s="69">
        <f>0.012+0.093</f>
        <v>0.105</v>
      </c>
    </row>
    <row r="5" spans="1:22" ht="15" thickTop="1" x14ac:dyDescent="0.3">
      <c r="A5" s="17" t="s">
        <v>3</v>
      </c>
      <c r="B5" s="41"/>
      <c r="C5" s="42"/>
      <c r="D5" s="8">
        <f>D4*A4</f>
        <v>584</v>
      </c>
      <c r="E5" s="10"/>
      <c r="F5" s="41"/>
      <c r="G5" s="42"/>
      <c r="H5" s="10"/>
      <c r="I5" s="10"/>
      <c r="J5" s="41"/>
      <c r="K5" s="48"/>
      <c r="L5" s="48"/>
      <c r="M5" s="48"/>
      <c r="N5" s="49"/>
      <c r="O5" s="49"/>
      <c r="P5" s="49"/>
      <c r="Q5" s="49"/>
      <c r="R5" s="49"/>
      <c r="S5" s="49"/>
      <c r="T5" s="49"/>
      <c r="U5" s="49"/>
      <c r="V5" s="56"/>
    </row>
    <row r="6" spans="1:22" ht="15" thickBot="1" x14ac:dyDescent="0.35">
      <c r="A6" s="18" t="s">
        <v>4</v>
      </c>
      <c r="B6" s="43"/>
      <c r="C6" s="44"/>
      <c r="D6" s="9">
        <f>D5*12</f>
        <v>7008</v>
      </c>
      <c r="E6" s="10"/>
      <c r="F6" s="43"/>
      <c r="G6" s="44"/>
      <c r="H6" s="10"/>
      <c r="I6" s="10"/>
      <c r="J6" s="43"/>
      <c r="K6" s="47"/>
      <c r="L6" s="47"/>
      <c r="M6" s="47"/>
      <c r="N6" s="47"/>
      <c r="O6" s="47"/>
      <c r="P6" s="47"/>
      <c r="Q6" s="47"/>
      <c r="R6" s="47"/>
      <c r="S6" s="47"/>
      <c r="T6" s="47"/>
      <c r="U6" s="47"/>
      <c r="V6" s="57"/>
    </row>
    <row r="7" spans="1:22" ht="15" thickTop="1" x14ac:dyDescent="0.3">
      <c r="A7" s="17" t="s">
        <v>5</v>
      </c>
      <c r="B7" s="41"/>
      <c r="C7" s="45"/>
      <c r="D7" s="42"/>
      <c r="E7" s="8">
        <f>E4*A4</f>
        <v>292</v>
      </c>
      <c r="F7" s="41"/>
      <c r="G7" s="42"/>
      <c r="H7" s="10"/>
      <c r="I7" s="10"/>
      <c r="J7" s="41"/>
      <c r="K7" s="48"/>
      <c r="L7" s="48"/>
      <c r="M7" s="48"/>
      <c r="N7" s="48"/>
      <c r="O7" s="48"/>
      <c r="P7" s="48"/>
      <c r="Q7" s="48"/>
      <c r="R7" s="48"/>
      <c r="S7" s="48"/>
      <c r="T7" s="48"/>
      <c r="U7" s="48"/>
      <c r="V7" s="58"/>
    </row>
    <row r="8" spans="1:22" ht="15" thickBot="1" x14ac:dyDescent="0.35">
      <c r="A8" s="18" t="s">
        <v>6</v>
      </c>
      <c r="B8" s="43"/>
      <c r="C8" s="43"/>
      <c r="D8" s="44"/>
      <c r="E8" s="9">
        <f>E7*12</f>
        <v>3504</v>
      </c>
      <c r="F8" s="43"/>
      <c r="G8" s="44"/>
      <c r="H8" s="10"/>
      <c r="I8" s="10"/>
      <c r="J8" s="43"/>
      <c r="K8" s="47"/>
      <c r="L8" s="47"/>
      <c r="M8" s="47"/>
      <c r="N8" s="47"/>
      <c r="O8" s="47"/>
      <c r="P8" s="47"/>
      <c r="Q8" s="47"/>
      <c r="R8" s="47"/>
      <c r="S8" s="47"/>
      <c r="T8" s="47"/>
      <c r="U8" s="47"/>
      <c r="V8" s="57"/>
    </row>
    <row r="9" spans="1:22" ht="15" thickTop="1" x14ac:dyDescent="0.3">
      <c r="A9" s="17" t="s">
        <v>2</v>
      </c>
      <c r="B9" s="41"/>
      <c r="C9" s="41"/>
      <c r="D9" s="46"/>
      <c r="E9" s="52"/>
      <c r="F9" s="41"/>
      <c r="G9" s="42"/>
      <c r="H9" s="11">
        <f>H4*A4</f>
        <v>584</v>
      </c>
      <c r="I9" s="10"/>
      <c r="J9" s="41"/>
      <c r="K9" s="48"/>
      <c r="L9" s="48"/>
      <c r="M9" s="48"/>
      <c r="N9" s="48"/>
      <c r="O9" s="48"/>
      <c r="P9" s="48"/>
      <c r="Q9" s="48"/>
      <c r="R9" s="48"/>
      <c r="S9" s="48"/>
      <c r="T9" s="48"/>
      <c r="U9" s="48"/>
      <c r="V9" s="58"/>
    </row>
    <row r="10" spans="1:22" ht="15" thickBot="1" x14ac:dyDescent="0.35">
      <c r="A10" s="18" t="s">
        <v>7</v>
      </c>
      <c r="B10" s="43"/>
      <c r="C10" s="43"/>
      <c r="D10" s="47"/>
      <c r="E10" s="47"/>
      <c r="F10" s="43"/>
      <c r="G10" s="44"/>
      <c r="H10" s="12">
        <f>H4*A4*12</f>
        <v>7008</v>
      </c>
      <c r="I10" s="10"/>
      <c r="J10" s="43"/>
      <c r="K10" s="47"/>
      <c r="L10" s="47"/>
      <c r="M10" s="47"/>
      <c r="N10" s="47"/>
      <c r="O10" s="47"/>
      <c r="P10" s="47"/>
      <c r="Q10" s="47"/>
      <c r="R10" s="47"/>
      <c r="S10" s="47"/>
      <c r="T10" s="47"/>
      <c r="U10" s="47"/>
      <c r="V10" s="57"/>
    </row>
    <row r="11" spans="1:22" ht="15" thickTop="1" x14ac:dyDescent="0.3">
      <c r="A11" s="19" t="s">
        <v>8</v>
      </c>
      <c r="B11" s="41"/>
      <c r="C11" s="41"/>
      <c r="D11" s="48"/>
      <c r="E11" s="48"/>
      <c r="F11" s="41"/>
      <c r="G11" s="46"/>
      <c r="H11" s="42"/>
      <c r="I11" s="13">
        <f>I4*A4</f>
        <v>292</v>
      </c>
      <c r="J11" s="41"/>
      <c r="K11" s="48"/>
      <c r="L11" s="48"/>
      <c r="M11" s="48"/>
      <c r="N11" s="48"/>
      <c r="O11" s="48"/>
      <c r="P11" s="48"/>
      <c r="Q11" s="48"/>
      <c r="R11" s="48"/>
      <c r="S11" s="48"/>
      <c r="T11" s="48"/>
      <c r="U11" s="48"/>
      <c r="V11" s="58"/>
    </row>
    <row r="12" spans="1:22" ht="15" thickBot="1" x14ac:dyDescent="0.35">
      <c r="A12" s="20" t="s">
        <v>9</v>
      </c>
      <c r="B12" s="41"/>
      <c r="C12" s="41"/>
      <c r="D12" s="48"/>
      <c r="E12" s="48"/>
      <c r="F12" s="41"/>
      <c r="G12" s="48"/>
      <c r="H12" s="54"/>
      <c r="I12" s="14">
        <f>I11*12</f>
        <v>3504</v>
      </c>
      <c r="J12" s="41"/>
      <c r="K12" s="48"/>
      <c r="L12" s="55"/>
      <c r="M12" s="55"/>
      <c r="N12" s="48"/>
      <c r="O12" s="48"/>
      <c r="P12" s="48"/>
      <c r="Q12" s="48"/>
      <c r="R12" s="55"/>
      <c r="S12" s="48"/>
      <c r="T12" s="48"/>
      <c r="U12" s="48"/>
      <c r="V12" s="58"/>
    </row>
    <row r="13" spans="1:22" ht="30" thickTop="1" thickBot="1" x14ac:dyDescent="0.35">
      <c r="A13" s="62" t="s">
        <v>235</v>
      </c>
      <c r="B13" s="40"/>
      <c r="C13" s="40"/>
      <c r="D13" s="49"/>
      <c r="E13" s="49"/>
      <c r="F13" s="40"/>
      <c r="G13" s="49"/>
      <c r="H13" s="49"/>
      <c r="I13" s="73"/>
      <c r="J13" s="74" t="s">
        <v>22</v>
      </c>
      <c r="K13" s="74" t="s">
        <v>22</v>
      </c>
      <c r="L13" s="41"/>
      <c r="M13" s="51"/>
      <c r="N13" s="91" t="s">
        <v>24</v>
      </c>
      <c r="O13" s="92" t="s">
        <v>11</v>
      </c>
      <c r="P13" s="93">
        <v>0</v>
      </c>
      <c r="Q13" s="93">
        <v>0</v>
      </c>
      <c r="R13" s="51"/>
      <c r="S13" s="98">
        <f>S4*R4</f>
        <v>360</v>
      </c>
      <c r="T13" s="100" t="str">
        <f>IF(S14="SockelB 60€:",60,IF(  T14&gt;2100,"Betrag über 2.100                      % reduzieren", " im Förderlimit"))</f>
        <v xml:space="preserve"> im Förderlimit</v>
      </c>
      <c r="U13" s="103" t="str">
        <f>IF(U14=0,"größer KV- BBG","Betrag unterhalb KV-BBG")</f>
        <v>Betrag unterhalb KV-BBG</v>
      </c>
      <c r="V13" s="104" t="str">
        <f>IF(V14=0,"größer RV-BBG","Betrag unterhalb RV-BBG")</f>
        <v>Betrag unterhalb RV-BBG</v>
      </c>
    </row>
    <row r="14" spans="1:22" ht="15.6" thickTop="1" thickBot="1" x14ac:dyDescent="0.35">
      <c r="A14" s="31" t="s">
        <v>13</v>
      </c>
      <c r="B14" s="66">
        <v>300</v>
      </c>
      <c r="C14" s="50"/>
      <c r="D14" s="32">
        <f>IF(B14&lt;=$D$5,B14,$D$5)</f>
        <v>300</v>
      </c>
      <c r="E14" s="32">
        <f>IF(B14&lt;=$E$7,B14,$E$7)</f>
        <v>292</v>
      </c>
      <c r="F14" s="51"/>
      <c r="G14" s="68" t="s">
        <v>24</v>
      </c>
      <c r="H14" s="41"/>
      <c r="I14" s="51"/>
      <c r="J14" s="10"/>
      <c r="K14" s="10"/>
      <c r="L14" s="41"/>
      <c r="M14" s="51"/>
      <c r="N14" s="94">
        <f>IF(N13="J",IF(S4&lt;=0.04,(S4/0.04)*175,175),0)</f>
        <v>43.75</v>
      </c>
      <c r="O14" s="95">
        <f>IF(O13="J",200,)</f>
        <v>0</v>
      </c>
      <c r="P14" s="95">
        <f>P13*185</f>
        <v>0</v>
      </c>
      <c r="Q14" s="95">
        <f>Q13*300</f>
        <v>0</v>
      </c>
      <c r="R14" s="51"/>
      <c r="S14" s="99">
        <f>IF(  ((S4*R4)-N14-O14-P14-Q14)&lt;60,"SockelB 60€:",((S4*R4)-N14-O14-P14-Q14))</f>
        <v>316.25</v>
      </c>
      <c r="T14" s="101">
        <f xml:space="preserve">   IF(S14&lt;&gt;"SockelB 60€:",                      S13+(N14+O14+P14+Q14),60+  (N14+O14+P14+Q14))</f>
        <v>403.75</v>
      </c>
      <c r="U14" s="105">
        <f xml:space="preserve">   IF(                         (0.68503937007874 *$A$4) - ($V$2/12)&gt;0,(0.68503937007874 *$A$4) - ($V$2/12),0)</f>
        <v>2000.7874015748021</v>
      </c>
      <c r="V14" s="106">
        <f>IF(($A$4)-($V$2/12)&gt;0,($A$4)-($V$2/12),0)</f>
        <v>4300</v>
      </c>
    </row>
    <row r="15" spans="1:22" ht="15.6" thickTop="1" thickBot="1" x14ac:dyDescent="0.35">
      <c r="A15" s="34" t="s">
        <v>14</v>
      </c>
      <c r="B15" s="70">
        <v>700</v>
      </c>
      <c r="C15" s="67">
        <v>300</v>
      </c>
      <c r="D15" s="9">
        <f>IF(B15&lt;=$D$6,B15,$D$6)</f>
        <v>700</v>
      </c>
      <c r="E15" s="9">
        <f>IF(B15&lt;=$E$8,B15,$E$8)</f>
        <v>700</v>
      </c>
      <c r="F15" s="33">
        <f>IF(G14="J",IF(C15&gt;=240,IF(C15&lt;=960,0.3*C15,0.3*960),"Keine Förderung"),"Keine Förderung")</f>
        <v>90</v>
      </c>
      <c r="G15" s="53"/>
      <c r="H15" s="55"/>
      <c r="I15" s="54"/>
      <c r="J15" s="9">
        <f>IF($A16="40b Betrag überschritten",D$6-2148,$D$6-B15)</f>
        <v>6308</v>
      </c>
      <c r="K15" s="9">
        <f>IF($A16="§ 40b Altzusage Betrag überschritten",$E$8-1752,$E$8-B15)</f>
        <v>2804</v>
      </c>
      <c r="L15" s="41"/>
      <c r="M15" s="41"/>
      <c r="N15" s="41"/>
      <c r="O15" s="41"/>
      <c r="P15" s="41"/>
      <c r="Q15" s="41"/>
      <c r="R15" s="41"/>
      <c r="S15" s="41"/>
      <c r="T15" s="51"/>
      <c r="U15" s="107" t="str">
        <f>IF(U16&gt;0,"Ersparnis","keine Ersparnis")</f>
        <v>Ersparnis</v>
      </c>
      <c r="V15" s="108" t="str">
        <f>IF(V16&gt;0,"Ersparnis","keine Ersparnis")</f>
        <v>Ersparnis</v>
      </c>
    </row>
    <row r="16" spans="1:22" ht="26.25" customHeight="1" thickTop="1" thickBot="1" x14ac:dyDescent="0.35">
      <c r="A16" s="62" t="s">
        <v>236</v>
      </c>
      <c r="B16" s="41"/>
      <c r="C16" s="41"/>
      <c r="D16" s="48"/>
      <c r="E16" s="48"/>
      <c r="F16" s="41"/>
      <c r="G16" s="48"/>
      <c r="H16" s="48"/>
      <c r="I16" s="41"/>
      <c r="J16" s="76"/>
      <c r="K16" s="77"/>
      <c r="L16" s="48"/>
      <c r="M16" s="41"/>
      <c r="N16" s="41"/>
      <c r="O16" s="41"/>
      <c r="P16" s="41"/>
      <c r="Q16" s="41"/>
      <c r="R16" s="41"/>
      <c r="S16" s="41"/>
      <c r="T16" s="51"/>
      <c r="U16" s="109">
        <f>IF($B$14&gt;0,IF(   U14 &gt;= $B$14,$B$14*U4, U14*U4 ),"kein Betrag" )</f>
        <v>26.474999999999998</v>
      </c>
      <c r="V16" s="110">
        <f>IF($B$14&gt;0,IF(   V14 &gt;= $B$14,$B$14*V4, V14*V4 ),"kein Betrag" )</f>
        <v>31.5</v>
      </c>
    </row>
    <row r="17" spans="1:22" ht="15.6" thickTop="1" thickBot="1" x14ac:dyDescent="0.35">
      <c r="A17" s="31" t="s">
        <v>13</v>
      </c>
      <c r="B17" s="66">
        <v>0</v>
      </c>
      <c r="C17" s="50"/>
      <c r="D17" s="32">
        <f>IF(B17&lt;=$D$5,B17,$D$5)</f>
        <v>0</v>
      </c>
      <c r="E17" s="32">
        <f>IF(B17&lt;=$E$7,B17,$E$7)</f>
        <v>0</v>
      </c>
      <c r="F17" s="51"/>
      <c r="G17" s="71" t="s">
        <v>11</v>
      </c>
      <c r="H17" s="32">
        <f>IF($B17&lt;=H9,$B17,H9)</f>
        <v>0</v>
      </c>
      <c r="I17" s="32">
        <f>IF($B17&lt;=I11,$B17,I11)</f>
        <v>0</v>
      </c>
      <c r="J17" s="76"/>
      <c r="K17" s="77"/>
      <c r="L17" s="48"/>
      <c r="M17" s="41"/>
      <c r="N17" s="41"/>
      <c r="O17" s="41"/>
      <c r="P17" s="41"/>
      <c r="Q17" s="41"/>
      <c r="R17" s="41"/>
      <c r="S17" s="41"/>
      <c r="T17" s="51"/>
      <c r="U17" s="403" t="s">
        <v>222</v>
      </c>
      <c r="V17" s="102">
        <v>0.15</v>
      </c>
    </row>
    <row r="18" spans="1:22" ht="15.6" thickTop="1" thickBot="1" x14ac:dyDescent="0.35">
      <c r="A18" s="34" t="s">
        <v>14</v>
      </c>
      <c r="B18" s="70">
        <v>0</v>
      </c>
      <c r="C18" s="67">
        <v>0</v>
      </c>
      <c r="D18" s="9">
        <f>IF(B18&lt;=$D$6,B18,$D$6)</f>
        <v>0</v>
      </c>
      <c r="E18" s="9">
        <f>IF(B18&lt;=$E$8,B18,$E$8)</f>
        <v>0</v>
      </c>
      <c r="F18" s="35" t="str">
        <f>IF(G17="J",IF(C18&gt;=240,IF(C18&lt;=960,0.3*C18,0.3*960),"Keine Förderung"),"Keine Förderung")</f>
        <v>Keine Förderung</v>
      </c>
      <c r="G18" s="72"/>
      <c r="H18" s="9">
        <f>IF($B18&lt;=H10,$B18,H10)</f>
        <v>0</v>
      </c>
      <c r="I18" s="9">
        <f>IF($B18&lt;=I12,$B18,I12)</f>
        <v>0</v>
      </c>
      <c r="J18" s="75">
        <f>IF($A19="40b Betrag überschritten",D$6-2148,$D$6-B18)</f>
        <v>7008</v>
      </c>
      <c r="K18" s="75">
        <f>IF($A19="§ 40b Altzusage Betrag überschritten",$E$8-1752,$E$8-B18)</f>
        <v>3504</v>
      </c>
      <c r="L18" s="53"/>
      <c r="M18" s="59"/>
      <c r="N18" s="59"/>
      <c r="O18" s="59"/>
      <c r="P18" s="59"/>
      <c r="Q18" s="55"/>
      <c r="R18" s="59"/>
      <c r="S18" s="59"/>
      <c r="T18" s="54"/>
      <c r="U18" s="404"/>
      <c r="V18" s="75">
        <f>IF(U17="Nur SV-Ersparnis ",(U16+V16),(V17*$B$14))</f>
        <v>45</v>
      </c>
    </row>
    <row r="19" spans="1:22" ht="15.6" thickTop="1" thickBot="1" x14ac:dyDescent="0.35">
      <c r="A19" s="86" t="s">
        <v>154</v>
      </c>
      <c r="B19" s="113"/>
      <c r="C19" s="41"/>
      <c r="D19" s="61"/>
      <c r="E19" s="52"/>
      <c r="F19" s="52"/>
      <c r="G19" s="82"/>
      <c r="H19" s="61"/>
      <c r="I19" s="51"/>
      <c r="J19" s="90"/>
      <c r="K19" s="89"/>
      <c r="L19" s="41"/>
      <c r="M19" s="48"/>
      <c r="N19" s="41"/>
      <c r="O19" s="41"/>
      <c r="P19" s="41"/>
      <c r="Q19" s="41"/>
      <c r="R19" s="41"/>
      <c r="S19" s="41"/>
      <c r="T19" s="41"/>
      <c r="U19" s="41"/>
      <c r="V19" s="97"/>
    </row>
    <row r="20" spans="1:22" ht="15.6" thickTop="1" thickBot="1" x14ac:dyDescent="0.35">
      <c r="A20" s="2"/>
      <c r="B20" s="114"/>
      <c r="C20" s="41"/>
      <c r="D20" s="41"/>
      <c r="E20" s="48"/>
      <c r="F20" s="51"/>
      <c r="G20" s="68" t="s">
        <v>24</v>
      </c>
      <c r="H20" s="83"/>
      <c r="I20" s="51"/>
      <c r="J20" s="74" t="s">
        <v>22</v>
      </c>
      <c r="K20" s="74" t="s">
        <v>22</v>
      </c>
      <c r="L20" s="41"/>
      <c r="M20" s="48"/>
      <c r="N20" s="41"/>
      <c r="O20" s="41"/>
      <c r="P20" s="41"/>
      <c r="Q20" s="41"/>
      <c r="R20" s="41"/>
      <c r="S20" s="41"/>
      <c r="T20" s="41"/>
      <c r="U20" s="41"/>
      <c r="V20" s="97"/>
    </row>
    <row r="21" spans="1:22" ht="15.6" thickTop="1" thickBot="1" x14ac:dyDescent="0.35">
      <c r="A21" s="84" t="s">
        <v>23</v>
      </c>
      <c r="B21" s="80">
        <v>0</v>
      </c>
      <c r="C21" s="79">
        <v>0</v>
      </c>
      <c r="D21" s="41"/>
      <c r="E21" s="51"/>
      <c r="F21" s="81" t="str">
        <f>IF(G20="J",IF(C21&gt;=240,IF(C21&lt;=480,0.3*C21,0.3*480),"Keine Förderung"),"Keine Förderung")</f>
        <v>Keine Förderung</v>
      </c>
      <c r="G21" s="51"/>
      <c r="H21" s="75">
        <f>IF($B21&lt;=H10,$B21,H10)</f>
        <v>0</v>
      </c>
      <c r="I21" s="87">
        <f>IF($B21&lt;=I12,$B21,I12)</f>
        <v>0</v>
      </c>
      <c r="J21" s="88">
        <f>IF($A22="ACHTUNG - § 40b Altzusage Betrag überschritten",D$6-2148,$D$6-B21)</f>
        <v>7008</v>
      </c>
      <c r="K21" s="88">
        <f>IF($A22="ACHTUNG - § 40b Altzusage Betrag überschritten",$E$8-2148,$E$8-B21)</f>
        <v>3504</v>
      </c>
      <c r="L21" s="41"/>
      <c r="M21" s="48"/>
      <c r="N21" s="41"/>
      <c r="O21" s="41"/>
      <c r="P21" s="41"/>
      <c r="Q21" s="41"/>
      <c r="R21" s="41"/>
      <c r="S21" s="41"/>
      <c r="T21" s="41"/>
      <c r="U21" s="41"/>
      <c r="V21" s="97"/>
    </row>
    <row r="22" spans="1:22" ht="33.75" customHeight="1" thickTop="1" thickBot="1" x14ac:dyDescent="0.35">
      <c r="A22" s="85" t="str">
        <f>IF(B21&gt;2148,"ACHTUNG - § 40b Altzusage Betrag überschritten",(CONCATENATE("Auch Pauschal-Steuer § 40b Altzusage bleibt weiterhin möglich = ",B21*0.2, "           aber maximal 1.752 bei Ø-Bildung (2.148€)  = ",2148*0.2)))</f>
        <v>Auch Pauschal-Steuer § 40b Altzusage bleibt weiterhin möglich = 0           aber maximal 1.752 bei Ø-Bildung (2.148€)  = 429,6</v>
      </c>
      <c r="B22" s="78">
        <f>B21</f>
        <v>0</v>
      </c>
      <c r="C22" s="53"/>
      <c r="D22" s="59"/>
      <c r="E22" s="55"/>
      <c r="F22" s="96"/>
      <c r="G22" s="55"/>
      <c r="H22" s="55"/>
      <c r="I22" s="59"/>
      <c r="J22" s="59"/>
      <c r="K22" s="55"/>
      <c r="L22" s="59"/>
      <c r="M22" s="55"/>
      <c r="N22" s="59"/>
      <c r="O22" s="59"/>
      <c r="P22" s="59"/>
      <c r="Q22" s="59"/>
      <c r="R22" s="55"/>
      <c r="S22" s="59"/>
      <c r="T22" s="59"/>
      <c r="U22" s="59"/>
      <c r="V22" s="111"/>
    </row>
    <row r="23" spans="1:22" ht="15.6" thickTop="1" thickBot="1" x14ac:dyDescent="0.35">
      <c r="A23" s="86" t="s">
        <v>155</v>
      </c>
      <c r="B23" s="115"/>
      <c r="C23" s="48"/>
      <c r="D23" s="48"/>
      <c r="E23" s="48"/>
      <c r="F23" s="48"/>
      <c r="G23" s="48"/>
      <c r="H23" s="48"/>
      <c r="I23" s="48"/>
      <c r="J23" s="48"/>
      <c r="K23" s="48"/>
      <c r="L23" s="116"/>
      <c r="M23" s="116"/>
      <c r="N23" s="41"/>
      <c r="O23" s="41"/>
      <c r="P23" s="41"/>
      <c r="Q23" s="41"/>
      <c r="R23" s="41"/>
      <c r="S23" s="41"/>
      <c r="T23" s="41"/>
      <c r="U23" s="41"/>
      <c r="V23" s="97"/>
    </row>
    <row r="24" spans="1:22" ht="30" thickTop="1" thickBot="1" x14ac:dyDescent="0.35">
      <c r="A24" s="112" t="s">
        <v>238</v>
      </c>
      <c r="B24" s="80">
        <v>0</v>
      </c>
      <c r="C24" s="79">
        <v>0</v>
      </c>
      <c r="D24" s="53"/>
      <c r="E24" s="60"/>
      <c r="F24" s="81" t="str">
        <f>IF(G24="J",IF(C24&gt;=240,IF(C24&lt;=480,0.6*C24,0.6*480),"Keine Förderung"),"Keine Förderung")</f>
        <v>Keine Förderung</v>
      </c>
      <c r="G24" s="68" t="s">
        <v>11</v>
      </c>
      <c r="H24" s="117">
        <f>IF($B24&lt;=H12,$B24,H12)</f>
        <v>0</v>
      </c>
      <c r="I24" s="117">
        <f>IF($B24&lt;=I14,$B24,I14)</f>
        <v>0</v>
      </c>
      <c r="J24" s="118">
        <f>IF($B24&lt;= $D$6, D$6-B24,0)</f>
        <v>7008</v>
      </c>
      <c r="K24" s="118">
        <f>IF($B24&lt;= $E$8, E$8-B24,0)</f>
        <v>3504</v>
      </c>
      <c r="L24" s="119" t="str">
        <f>IF(J24=0,B24-$D$6," ")</f>
        <v xml:space="preserve"> </v>
      </c>
      <c r="M24" s="127" t="str">
        <f>IF(K24=0,B24-$E$8," ")</f>
        <v xml:space="preserve"> </v>
      </c>
      <c r="N24" s="59"/>
      <c r="O24" s="59"/>
      <c r="P24" s="59"/>
      <c r="Q24" s="59"/>
      <c r="R24" s="59"/>
      <c r="S24" s="59"/>
      <c r="T24" s="59"/>
      <c r="U24" s="59"/>
      <c r="V24" s="111"/>
    </row>
    <row r="25" spans="1:22" ht="30" thickTop="1" thickBot="1" x14ac:dyDescent="0.35">
      <c r="A25" s="139" t="s">
        <v>157</v>
      </c>
      <c r="B25" s="80">
        <v>16000</v>
      </c>
      <c r="C25" s="121"/>
      <c r="D25" s="49"/>
      <c r="E25" s="49"/>
      <c r="F25" s="49"/>
      <c r="G25" s="49"/>
      <c r="H25" s="48"/>
      <c r="I25" s="48"/>
      <c r="J25" s="48"/>
      <c r="K25" s="125"/>
      <c r="L25" s="49"/>
      <c r="M25" s="41"/>
      <c r="N25" s="41"/>
      <c r="O25" s="41"/>
      <c r="P25" s="41"/>
      <c r="Q25" s="41"/>
      <c r="R25" s="41"/>
      <c r="S25" s="41"/>
      <c r="T25" s="41"/>
      <c r="U25" s="41"/>
      <c r="V25" s="97"/>
    </row>
    <row r="26" spans="1:22" ht="15.6" thickTop="1" thickBot="1" x14ac:dyDescent="0.35">
      <c r="A26" s="138" t="s">
        <v>27</v>
      </c>
      <c r="B26" s="120">
        <v>41122</v>
      </c>
      <c r="C26" s="122"/>
      <c r="D26" s="48"/>
      <c r="E26" s="48"/>
      <c r="F26" s="48"/>
      <c r="G26" s="48"/>
      <c r="H26" s="48"/>
      <c r="I26" s="48"/>
      <c r="J26" s="48"/>
      <c r="K26" s="48"/>
      <c r="L26" s="48"/>
      <c r="M26" s="41"/>
      <c r="N26" s="41"/>
      <c r="O26" s="41"/>
      <c r="P26" s="41"/>
      <c r="Q26" s="41"/>
      <c r="R26" s="41"/>
      <c r="S26" s="41"/>
      <c r="T26" s="41"/>
      <c r="U26" s="41"/>
      <c r="V26" s="97"/>
    </row>
    <row r="27" spans="1:22" ht="15.6" thickTop="1" thickBot="1" x14ac:dyDescent="0.35">
      <c r="A27" s="138" t="s">
        <v>28</v>
      </c>
      <c r="B27" s="120">
        <v>42948</v>
      </c>
      <c r="C27" s="122"/>
      <c r="D27" s="48"/>
      <c r="E27" s="48"/>
      <c r="F27" s="48"/>
      <c r="G27" s="48"/>
      <c r="H27" s="48"/>
      <c r="I27" s="48"/>
      <c r="J27" s="48"/>
      <c r="K27" s="48"/>
      <c r="L27" s="48"/>
      <c r="M27" s="41"/>
      <c r="N27" s="41"/>
      <c r="O27" s="41"/>
      <c r="P27" s="41"/>
      <c r="Q27" s="41"/>
      <c r="R27" s="41"/>
      <c r="S27" s="41"/>
      <c r="T27" s="41"/>
      <c r="U27" s="41"/>
      <c r="V27" s="97"/>
    </row>
    <row r="28" spans="1:22" ht="15.6" thickTop="1" thickBot="1" x14ac:dyDescent="0.35">
      <c r="A28" s="138" t="s">
        <v>31</v>
      </c>
      <c r="B28" s="128">
        <f>IF((DATEDIF($B$26,$B$27,"y")*12)+(DATEDIF($B$26,$B$27,"ym")+((DATEDIF($B$26,$B$27,"md")/30)))&lt;=120,(DATEDIF($B$26,$B$27,"y")*12)+(DATEDIF($B$26,$B$27,"ym")+((DATEDIF($B$26,$B$27,"md")/30))),120)</f>
        <v>60</v>
      </c>
      <c r="C28" s="122"/>
      <c r="D28" s="48"/>
      <c r="E28" s="48"/>
      <c r="F28" s="48"/>
      <c r="G28" s="48"/>
      <c r="H28" s="48"/>
      <c r="I28" s="48"/>
      <c r="J28" s="48"/>
      <c r="K28" s="48"/>
      <c r="L28" s="48"/>
      <c r="M28" s="41"/>
      <c r="N28" s="41"/>
      <c r="O28" s="41"/>
      <c r="P28" s="41"/>
      <c r="Q28" s="41"/>
      <c r="R28" s="41"/>
      <c r="S28" s="41"/>
      <c r="T28" s="41"/>
      <c r="U28" s="41"/>
      <c r="V28" s="97"/>
    </row>
    <row r="29" spans="1:22" ht="15.6" thickTop="1" thickBot="1" x14ac:dyDescent="0.35">
      <c r="A29" s="144" t="str">
        <f>CONCATENATE("Beschäftigungszeitraum beträgt:    ",DATEDIF($B$26,$B$27,"y")," Jahr(e)  ",DATEDIF($B$26,$B$27,"ym")," Monate ",DATEDIF($B$26,$B$27,"MD")," Tage"," -&gt; Jahresfaktor:")</f>
        <v>Beschäftigungszeitraum beträgt:    5 Jahr(e)  0 Monate 0 Tage -&gt; Jahresfaktor:</v>
      </c>
      <c r="B29" s="141">
        <f>DATEDIF($B$26,$B$27,"y")</f>
        <v>5</v>
      </c>
      <c r="C29" s="59"/>
      <c r="D29" s="55"/>
      <c r="E29" s="55"/>
      <c r="F29" s="55"/>
      <c r="G29" s="60"/>
      <c r="H29" s="123">
        <f>IF(B29*I12&lt;= 10*I29,B29*I12,10*I29)</f>
        <v>17520</v>
      </c>
      <c r="I29" s="123">
        <f>B25</f>
        <v>16000</v>
      </c>
      <c r="J29" s="124">
        <f>IF(B25&gt;=H29,0,I12*B29-B25)</f>
        <v>1520</v>
      </c>
      <c r="K29" s="126"/>
      <c r="L29" s="75">
        <f>IF(J29=0,B25-H29,)</f>
        <v>0</v>
      </c>
      <c r="M29" s="53"/>
      <c r="N29" s="55"/>
      <c r="O29" s="59"/>
      <c r="P29" s="59"/>
      <c r="Q29" s="59"/>
      <c r="R29" s="59"/>
      <c r="S29" s="59"/>
      <c r="T29" s="59"/>
      <c r="U29" s="59"/>
      <c r="V29" s="111"/>
    </row>
    <row r="30" spans="1:22" ht="58.8" thickTop="1" thickBot="1" x14ac:dyDescent="0.35">
      <c r="A30" s="142" t="s">
        <v>158</v>
      </c>
      <c r="B30" s="137">
        <v>0</v>
      </c>
      <c r="C30" s="131"/>
      <c r="D30" s="132"/>
      <c r="E30" s="132"/>
      <c r="F30" s="132"/>
      <c r="G30" s="133"/>
      <c r="H30" s="133"/>
      <c r="I30" s="133"/>
      <c r="J30" s="133"/>
      <c r="K30" s="133"/>
      <c r="L30" s="133"/>
      <c r="M30" s="130"/>
      <c r="N30" s="41"/>
      <c r="O30" s="41"/>
      <c r="P30" s="41"/>
      <c r="Q30" s="41"/>
      <c r="R30" s="41"/>
      <c r="S30" s="41"/>
      <c r="T30" s="41"/>
      <c r="U30" s="41"/>
      <c r="V30" s="97"/>
    </row>
    <row r="31" spans="1:22" ht="15.6" thickTop="1" thickBot="1" x14ac:dyDescent="0.35">
      <c r="A31" s="140" t="s">
        <v>32</v>
      </c>
      <c r="B31" s="120">
        <v>42401</v>
      </c>
      <c r="C31" s="41"/>
      <c r="D31" s="48"/>
      <c r="E31" s="48"/>
      <c r="F31" s="48"/>
      <c r="G31" s="48"/>
      <c r="H31" s="48"/>
      <c r="I31" s="48"/>
      <c r="J31" s="48"/>
      <c r="K31" s="48"/>
      <c r="L31" s="48"/>
      <c r="M31" s="41"/>
      <c r="N31" s="41"/>
      <c r="O31" s="41"/>
      <c r="P31" s="41"/>
      <c r="Q31" s="41"/>
      <c r="R31" s="41"/>
      <c r="S31" s="41"/>
      <c r="T31" s="41"/>
      <c r="U31" s="41"/>
      <c r="V31" s="97"/>
    </row>
    <row r="32" spans="1:22" ht="15.6" thickTop="1" thickBot="1" x14ac:dyDescent="0.35">
      <c r="A32" s="140" t="s">
        <v>29</v>
      </c>
      <c r="B32" s="120">
        <v>42735</v>
      </c>
      <c r="C32" s="41"/>
      <c r="D32" s="48"/>
      <c r="E32" s="48"/>
      <c r="F32" s="48"/>
      <c r="G32" s="48"/>
      <c r="H32" s="48"/>
      <c r="I32" s="48"/>
      <c r="J32" s="48"/>
      <c r="K32" s="48"/>
      <c r="L32" s="48"/>
      <c r="M32" s="41"/>
      <c r="N32" s="41"/>
      <c r="O32" s="41"/>
      <c r="P32" s="41"/>
      <c r="Q32" s="41"/>
      <c r="R32" s="41"/>
      <c r="S32" s="41"/>
      <c r="T32" s="41"/>
      <c r="U32" s="41"/>
      <c r="V32" s="97"/>
    </row>
    <row r="33" spans="1:22" ht="15.6" thickTop="1" thickBot="1" x14ac:dyDescent="0.35">
      <c r="A33" s="140" t="s">
        <v>31</v>
      </c>
      <c r="B33" s="128">
        <f>IF((DATEDIF($B$31,$B$32,"y")*12)+(DATEDIF($B$31,$B$32,"ym")+((DATEDIF($B$31,$B$32,"md")/30)))&lt;=120,(DATEDIF($B$31,$B$32,"y")*12)+(DATEDIF($B$31,$B$32,"ym")+((DATEDIF($B$31,$B$32,"md")/30))),120)</f>
        <v>11</v>
      </c>
      <c r="C33" s="41"/>
      <c r="D33" s="48"/>
      <c r="E33" s="48"/>
      <c r="F33" s="48"/>
      <c r="G33" s="48"/>
      <c r="H33" s="48"/>
      <c r="I33" s="48"/>
      <c r="J33" s="48"/>
      <c r="K33" s="48"/>
      <c r="L33" s="48"/>
      <c r="M33" s="41"/>
      <c r="N33" s="41"/>
      <c r="O33" s="41"/>
      <c r="P33" s="41"/>
      <c r="Q33" s="41"/>
      <c r="R33" s="41"/>
      <c r="S33" s="41"/>
      <c r="T33" s="41"/>
      <c r="U33" s="41"/>
      <c r="V33" s="97"/>
    </row>
    <row r="34" spans="1:22" ht="15.6" thickTop="1" thickBot="1" x14ac:dyDescent="0.35">
      <c r="A34" s="143" t="str">
        <f>CONCATENATE("Beschäftigungszeitraum beträgt:    ",DATEDIF($B$31,$B$32,"y")," Jahr(e)  ",DATEDIF($B$31,$B$32,"ym")," Monate ",DATEDIF($B$31,$B$32,"MD")," Tage"," -&gt; Jahresfaktor:")</f>
        <v>Beschäftigungszeitraum beträgt:    0 Jahr(e)  10 Monate 30 Tage -&gt; Jahresfaktor:</v>
      </c>
      <c r="B34" s="129">
        <f>DATEDIF($B$31,$B$32,"y")</f>
        <v>0</v>
      </c>
      <c r="C34" s="83"/>
      <c r="D34" s="134"/>
      <c r="E34" s="134"/>
      <c r="F34" s="134"/>
      <c r="G34" s="135"/>
      <c r="H34" s="123">
        <f>IF(B34*H10&lt;= 10*B30,B34*H10,10*B30)</f>
        <v>0</v>
      </c>
      <c r="I34" s="135"/>
      <c r="J34" s="124">
        <f>IF(B30&gt;=H34,0,H10*B34-B30)</f>
        <v>0</v>
      </c>
      <c r="K34" s="135"/>
      <c r="L34" s="75">
        <f>IF(J34=0,B30-H34,)</f>
        <v>0</v>
      </c>
      <c r="M34" s="83"/>
      <c r="N34" s="83"/>
      <c r="O34" s="83"/>
      <c r="P34" s="83"/>
      <c r="Q34" s="83"/>
      <c r="R34" s="83"/>
      <c r="S34" s="83"/>
      <c r="T34" s="83"/>
      <c r="U34" s="83"/>
      <c r="V34" s="136"/>
    </row>
    <row r="35" spans="1:22" ht="15" thickTop="1" x14ac:dyDescent="0.3"/>
    <row r="408" spans="5:5" x14ac:dyDescent="0.3">
      <c r="E408">
        <v>3</v>
      </c>
    </row>
  </sheetData>
  <sheetProtection sheet="1" objects="1" scenarios="1"/>
  <mergeCells count="1">
    <mergeCell ref="U17:U18"/>
  </mergeCells>
  <dataValidations count="2">
    <dataValidation type="list" showInputMessage="1" showErrorMessage="1" sqref="G14 G17 N13:O13 G24 G20" xr:uid="{00000000-0002-0000-0700-000000000000}">
      <formula1>"J, N"</formula1>
    </dataValidation>
    <dataValidation type="list" showInputMessage="1" showErrorMessage="1" promptTitle=" AG-SV Beitrag" prompt="AG-SV-Zusatz-Beitrag - freiwillig %-Satz ?" sqref="U17" xr:uid="{00000000-0002-0000-0700-000001000000}">
      <formula1>"SV-Beitrag freiwillig %-Satz, Nur SV-Ersparnis "</formula1>
    </dataValidation>
  </dataValidations>
  <pageMargins left="0.27" right="0.17" top="0.53" bottom="0.52" header="0.17" footer="0.3"/>
  <pageSetup paperSize="8"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Steuer- und SV Grenze</vt:lpstr>
      <vt:lpstr>bAV und AG-Förderbeitrag</vt:lpstr>
      <vt:lpstr>Sozialversicherungbeitrag 2023</vt:lpstr>
      <vt:lpstr>40b-Alt- oder Neuzusage</vt:lpstr>
      <vt:lpstr>Abfindung-Nachzahlung</vt:lpstr>
      <vt:lpstr>Riesterzulage</vt:lpstr>
      <vt:lpstr>Fälle-Kommentare</vt:lpstr>
      <vt:lpstr>Berechnung</vt:lpstr>
      <vt:lpstr>'Steuer- und SV Grenze'!Druckbereich</vt:lpstr>
    </vt:vector>
  </TitlesOfParts>
  <Company>MPK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Wessling</dc:creator>
  <cp:lastModifiedBy>Linda Pauly</cp:lastModifiedBy>
  <cp:lastPrinted>2018-10-18T08:00:10Z</cp:lastPrinted>
  <dcterms:created xsi:type="dcterms:W3CDTF">2017-08-23T11:50:09Z</dcterms:created>
  <dcterms:modified xsi:type="dcterms:W3CDTF">2022-12-23T08:40:08Z</dcterms:modified>
</cp:coreProperties>
</file>